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660" yWindow="2340" windowWidth="8145" windowHeight="6015"/>
  </bookViews>
  <sheets>
    <sheet name="Step 1" sheetId="1" r:id="rId1"/>
    <sheet name="Step 2" sheetId="4" r:id="rId2"/>
    <sheet name="Printout" sheetId="7" r:id="rId3"/>
  </sheets>
  <definedNames>
    <definedName name="_xlnm.Print_Area" localSheetId="2">Printout!$A$1:$J$65</definedName>
  </definedNames>
  <calcPr calcId="124519"/>
</workbook>
</file>

<file path=xl/calcChain.xml><?xml version="1.0" encoding="utf-8"?>
<calcChain xmlns="http://schemas.openxmlformats.org/spreadsheetml/2006/main">
  <c r="I8" i="1"/>
  <c r="E8" s="1"/>
  <c r="J8"/>
  <c r="E9"/>
  <c r="I9"/>
  <c r="E10"/>
  <c r="I10"/>
  <c r="E11"/>
  <c r="I11"/>
  <c r="K11"/>
  <c r="E12"/>
  <c r="I12"/>
  <c r="I13"/>
  <c r="E13" s="1"/>
  <c r="E14"/>
  <c r="I14"/>
  <c r="I15"/>
  <c r="E15" s="1"/>
  <c r="E16"/>
  <c r="I16"/>
  <c r="O26"/>
  <c r="R26"/>
  <c r="O28"/>
  <c r="R28" s="1"/>
  <c r="O30"/>
  <c r="R30" s="1"/>
  <c r="I33"/>
  <c r="L4" i="4"/>
  <c r="K6"/>
  <c r="G7"/>
  <c r="H7"/>
  <c r="I7"/>
  <c r="K7" s="1"/>
  <c r="J7"/>
  <c r="L7"/>
  <c r="G8"/>
  <c r="H8"/>
  <c r="I8"/>
  <c r="K8" s="1"/>
  <c r="J8"/>
  <c r="L8"/>
  <c r="G9"/>
  <c r="H9"/>
  <c r="I9"/>
  <c r="K9" s="1"/>
  <c r="J9"/>
  <c r="L9"/>
  <c r="G10"/>
  <c r="H10"/>
  <c r="I10"/>
  <c r="K10" s="1"/>
  <c r="J10"/>
  <c r="L10"/>
  <c r="G11"/>
  <c r="I11"/>
  <c r="J11"/>
  <c r="K11" s="1"/>
  <c r="L11"/>
  <c r="G12"/>
  <c r="I12"/>
  <c r="J12"/>
  <c r="K12"/>
  <c r="L12"/>
  <c r="G13"/>
  <c r="H13"/>
  <c r="I13"/>
  <c r="J13"/>
  <c r="K13"/>
  <c r="L13"/>
  <c r="G14"/>
  <c r="H14"/>
  <c r="I14"/>
  <c r="J14"/>
  <c r="K14"/>
  <c r="L14"/>
  <c r="G15"/>
  <c r="H15"/>
  <c r="I15"/>
  <c r="J15"/>
  <c r="K15"/>
  <c r="L15"/>
  <c r="G16"/>
  <c r="H16"/>
  <c r="I16"/>
  <c r="J16"/>
  <c r="K16"/>
  <c r="L16"/>
  <c r="G17"/>
  <c r="I17"/>
  <c r="K17" s="1"/>
  <c r="J17"/>
  <c r="L17"/>
  <c r="L19"/>
  <c r="E19" s="1"/>
  <c r="E17" l="1"/>
  <c r="E14"/>
  <c r="E13"/>
  <c r="K18"/>
  <c r="E16" s="1"/>
  <c r="I30" i="1"/>
  <c r="E15" i="4" l="1"/>
  <c r="G18"/>
  <c r="E7"/>
  <c r="E8"/>
  <c r="E9"/>
  <c r="E10"/>
  <c r="E11"/>
  <c r="E12"/>
  <c r="L18" l="1"/>
  <c r="G19"/>
  <c r="M12" l="1"/>
  <c r="M8"/>
  <c r="M16"/>
  <c r="M9"/>
  <c r="M17"/>
  <c r="M13"/>
  <c r="M10"/>
  <c r="L25"/>
  <c r="M18" s="1"/>
  <c r="M14"/>
  <c r="M11"/>
  <c r="M7"/>
  <c r="M15"/>
</calcChain>
</file>

<file path=xl/sharedStrings.xml><?xml version="1.0" encoding="utf-8"?>
<sst xmlns="http://schemas.openxmlformats.org/spreadsheetml/2006/main" count="145" uniqueCount="129">
  <si>
    <t>Three Phase</t>
  </si>
  <si>
    <t>This is Step 1 and it will calculate the transformer let-through current.</t>
  </si>
  <si>
    <t>500 MCM</t>
  </si>
  <si>
    <t>No</t>
  </si>
  <si>
    <t xml:space="preserve">    BUSWAY (Copper)</t>
  </si>
  <si>
    <t xml:space="preserve">    PLUG-IN BUSWAY (Copper)</t>
  </si>
  <si>
    <t xml:space="preserve">    BUSWAY (Aluminum)</t>
  </si>
  <si>
    <t xml:space="preserve">   3-SINGLE CONDUCTORS (Copper) Steel Conduit</t>
  </si>
  <si>
    <t xml:space="preserve">   1-THREE CONDUCTOR CABLE (Copper) Steel Conduit</t>
  </si>
  <si>
    <t xml:space="preserve">   3-SINGLE CONDUCTORS (Copper) Nomagnetic Conduit</t>
  </si>
  <si>
    <t xml:space="preserve">   1-THREE CONDUCTOR CABLE (Copper) Nomagnetic Conduit</t>
  </si>
  <si>
    <t xml:space="preserve">   3-SINGLE CONDUCTORS (Aluminum) Steel Conduit</t>
  </si>
  <si>
    <t xml:space="preserve">   1-THREE CONDUCTOR CABLE (Aluminum) Steel Conduit</t>
  </si>
  <si>
    <t xml:space="preserve">   3-SINGLE CONDUCTORS (Aluminum) Nomagnetic Conduit</t>
  </si>
  <si>
    <t xml:space="preserve">   1-THREE CONDUCTOR CABLE (Aluminum) Nomagnetic Conduit</t>
  </si>
  <si>
    <t>This is Step 2 and it will calculate the available short circuit current (RMS) symmetrical</t>
  </si>
  <si>
    <t>MASTOR ERROR</t>
  </si>
  <si>
    <t>Steel Conduit</t>
  </si>
  <si>
    <t>500 MCM Cable CU</t>
  </si>
  <si>
    <t xml:space="preserve"> - Transformer Let-Through Current</t>
  </si>
  <si>
    <t>TLC</t>
  </si>
  <si>
    <t>KVA</t>
  </si>
  <si>
    <t xml:space="preserve"> - Kilovolt Amps</t>
  </si>
  <si>
    <t>%Z</t>
  </si>
  <si>
    <t>L</t>
  </si>
  <si>
    <t xml:space="preserve"> - Length of Conductor</t>
  </si>
  <si>
    <t>C</t>
  </si>
  <si>
    <t xml:space="preserve"> - Conductor Constant</t>
  </si>
  <si>
    <t>N</t>
  </si>
  <si>
    <t xml:space="preserve"> - Number of Conductors Per Phase</t>
  </si>
  <si>
    <t xml:space="preserve"> - Transformer Impedance Value Nameplate %Z</t>
  </si>
  <si>
    <t xml:space="preserve"> - Transformer Multiplier</t>
  </si>
  <si>
    <t>&lt;</t>
  </si>
  <si>
    <t>TM</t>
  </si>
  <si>
    <t>br added at all fault locations throughout the system.</t>
  </si>
  <si>
    <t>A practicle estimate of short-circuit contribution is to</t>
  </si>
  <si>
    <t>multiply the total motor full-load amps ( FLA ) by 4</t>
  </si>
  <si>
    <t>Values of 4 to 6 are commonly accepted.</t>
  </si>
  <si>
    <t>Motor short-circuit contribution, if significant should</t>
  </si>
  <si>
    <t>*</t>
  </si>
  <si>
    <t>EXAMPLE  ( 84 FLA x 4 ) =  336 AMPS</t>
  </si>
  <si>
    <t>UA</t>
  </si>
  <si>
    <t xml:space="preserve"> - Utility Adjustment 1.1 ( Voltages May Vary 10% )</t>
  </si>
  <si>
    <t>MC</t>
  </si>
  <si>
    <t xml:space="preserve"> - Motor Short-Circuit Contribution</t>
  </si>
  <si>
    <t>Error Sheet 1</t>
  </si>
  <si>
    <t>Error Sheet 2</t>
  </si>
  <si>
    <t>Auto/Manual</t>
  </si>
  <si>
    <t>AFC</t>
  </si>
  <si>
    <t xml:space="preserve"> - Available Fault Current</t>
  </si>
  <si>
    <t xml:space="preserve">Start &gt; </t>
  </si>
  <si>
    <t xml:space="preserve">End &gt; </t>
  </si>
  <si>
    <t xml:space="preserve"> </t>
  </si>
  <si>
    <t>KEY</t>
  </si>
  <si>
    <t>2 Conductor(s) Per Phase</t>
  </si>
  <si>
    <t>÷</t>
  </si>
  <si>
    <t xml:space="preserve"> UA ) + </t>
  </si>
  <si>
    <t>Step 1</t>
  </si>
  <si>
    <t>Step 2</t>
  </si>
  <si>
    <t>Or you may manual enter available fault current.</t>
  </si>
  <si>
    <t xml:space="preserve"> TM x </t>
  </si>
  <si>
    <t>sum</t>
  </si>
  <si>
    <t>Main Service</t>
  </si>
  <si>
    <t>Main Switch Board</t>
  </si>
  <si>
    <t xml:space="preserve">Starting Point - </t>
  </si>
  <si>
    <t xml:space="preserve">Ending Point - </t>
  </si>
  <si>
    <t xml:space="preserve">Project Name - </t>
  </si>
  <si>
    <t>CF</t>
  </si>
  <si>
    <t xml:space="preserve"> - Conductor Factor</t>
  </si>
  <si>
    <t>CM</t>
  </si>
  <si>
    <t xml:space="preserve"> - Conductor Multiplier</t>
  </si>
  <si>
    <t>CLC</t>
  </si>
  <si>
    <t xml:space="preserve"> - Conductor Let-Through Current</t>
  </si>
  <si>
    <t xml:space="preserve"> - Secondary Voltage</t>
  </si>
  <si>
    <t>SV</t>
  </si>
  <si>
    <t>TF</t>
  </si>
  <si>
    <t xml:space="preserve"> - Transformer Factor</t>
  </si>
  <si>
    <t>PV</t>
  </si>
  <si>
    <t xml:space="preserve"> - Primary Voltage</t>
  </si>
  <si>
    <t xml:space="preserve"> SV ) ÷ ( </t>
  </si>
  <si>
    <t xml:space="preserve"> PV ÷ </t>
  </si>
  <si>
    <t>480</t>
  </si>
  <si>
    <t>0.282</t>
  </si>
  <si>
    <t>46,000</t>
  </si>
  <si>
    <t>ua</t>
  </si>
  <si>
    <t xml:space="preserve">(((( </t>
  </si>
  <si>
    <t>mc</t>
  </si>
  <si>
    <t xml:space="preserve"> = </t>
  </si>
  <si>
    <t xml:space="preserve"> AFC )) x  </t>
  </si>
  <si>
    <t>Project Name</t>
  </si>
  <si>
    <t>Starting Point</t>
  </si>
  <si>
    <t>Ending Point</t>
  </si>
  <si>
    <t>Select Method</t>
  </si>
  <si>
    <t>Available Fault Current</t>
  </si>
  <si>
    <t>Transformer KVA</t>
  </si>
  <si>
    <t>Primary Voltage</t>
  </si>
  <si>
    <t>Transformer %Z Rating</t>
  </si>
  <si>
    <t>Secondary Voltage</t>
  </si>
  <si>
    <t>Motor Short-Circuit Contribution</t>
  </si>
  <si>
    <t>**</t>
  </si>
  <si>
    <t>Utility Voltage Adjustment</t>
  </si>
  <si>
    <t>Transformer Known AFC</t>
  </si>
  <si>
    <t>Utility voltages may vary +/- 10% for power. Therefore</t>
  </si>
  <si>
    <t>for worst case conditions enter 1.1 as the utility voltage adjustment.</t>
  </si>
  <si>
    <t>Smioth Ranch</t>
  </si>
  <si>
    <t>Select One</t>
  </si>
  <si>
    <t>Number of conductors Per Phase</t>
  </si>
  <si>
    <t>Enter Conduit or Busway Length</t>
  </si>
  <si>
    <t>Phase</t>
  </si>
  <si>
    <t>Point to Point Method of Short-Circuit Calculation ( Three Phase )</t>
  </si>
  <si>
    <t>Project Name - Smioth Ranch</t>
  </si>
  <si>
    <t>Starting Point - Main Service</t>
  </si>
  <si>
    <t>Ending Point - Main Switch Board</t>
  </si>
  <si>
    <t>Available Fault Current at Starting Point 39,425 AFC</t>
  </si>
  <si>
    <t>Calculate TF ( 39,425 AFC x 480 PV x 1.732 x 2.0 %Z ) ÷ ( 100,000 x 300 KVA ) = 2.185 TF</t>
  </si>
  <si>
    <t>Calculate TM ( 1 ) / ( 1 + 2.185 TF ) = 0.314 TM</t>
  </si>
  <si>
    <t>Calculate TLC (((( 480 PV ÷ 208 SV ) ÷ ( 0.314 TM x 39,425 AFC )) x  1.0 UA ) + 0 MC ) = 28,568 TLC</t>
  </si>
  <si>
    <t>Conductor Factor CF - Formula ( 1.732 x 20 L x 28,568 TLC ) ÷ ( 22,185 C x 2 N x 208 SV ) = 0.107 CF</t>
  </si>
  <si>
    <t xml:space="preserve">Conductor Multiplier CM - Formula  ( 1 ) ÷ ( 1 + 0.107 CF ) = 0.903 CM </t>
  </si>
  <si>
    <t>Conductor Let-Through Current CLC - Formula ( 28,568 TLC x 0.903 CM ) = 25,797 CLC</t>
  </si>
  <si>
    <t>39,425 AFC</t>
  </si>
  <si>
    <t>Transformer</t>
  </si>
  <si>
    <t xml:space="preserve">\/\/\/\/\/\/\/    </t>
  </si>
  <si>
    <t xml:space="preserve"> &lt; 300  KVA</t>
  </si>
  <si>
    <t xml:space="preserve">/\/\/\/\/\/\/\    </t>
  </si>
  <si>
    <t>28,568 TLC</t>
  </si>
  <si>
    <t>25,797 CLC</t>
  </si>
  <si>
    <t xml:space="preserve">  Math function in this DEMO have been disabled.</t>
  </si>
  <si>
    <t>Prepared with Short-Circuit - Copyright Durand &amp; Associates</t>
  </si>
</sst>
</file>

<file path=xl/styles.xml><?xml version="1.0" encoding="utf-8"?>
<styleSheet xmlns="http://schemas.openxmlformats.org/spreadsheetml/2006/main">
  <numFmts count="45">
    <numFmt numFmtId="164" formatCode="0.0"/>
    <numFmt numFmtId="165" formatCode="0.0&quot;%&quot;"/>
    <numFmt numFmtId="166" formatCode="&quot;x &quot;#,##0&quot; )&quot;"/>
    <numFmt numFmtId="167" formatCode="&quot;÷ ( &quot;0&quot; V&quot;"/>
    <numFmt numFmtId="168" formatCode="&quot;= &quot;#,##0&quot; A&quot;"/>
    <numFmt numFmtId="169" formatCode="&quot;x &quot;General&quot; )&quot;"/>
    <numFmt numFmtId="170" formatCode="&quot;( &quot;General"/>
    <numFmt numFmtId="171" formatCode="&quot;( &quot;0&quot; KVA &quot;"/>
    <numFmt numFmtId="172" formatCode="&quot;÷  ( &quot;General"/>
    <numFmt numFmtId="173" formatCode="&quot;x  &quot;0.0&quot;  )&quot;"/>
    <numFmt numFmtId="174" formatCode="&quot;=  &quot;0.00"/>
    <numFmt numFmtId="175" formatCode="&quot;( &quot;0&quot; A&quot;&quot;  x&quot;"/>
    <numFmt numFmtId="176" formatCode="&quot;= &quot;#,##0"/>
    <numFmt numFmtId="177" formatCode="&quot; &quot;0.00&quot; M ) =&quot;"/>
    <numFmt numFmtId="178" formatCode="#,##0&quot; TLC&quot;"/>
    <numFmt numFmtId="179" formatCode="&quot;x  &quot;0&quot; L&quot;"/>
    <numFmt numFmtId="180" formatCode="&quot;( &quot;#,##0"/>
    <numFmt numFmtId="181" formatCode="&quot;x  &quot;0&quot;  x&quot;"/>
    <numFmt numFmtId="182" formatCode="0&quot; V )&quot;"/>
    <numFmt numFmtId="183" formatCode="&quot;= &quot;0.000"/>
    <numFmt numFmtId="184" formatCode="&quot;(  &quot;0&quot;  +&quot;"/>
    <numFmt numFmtId="185" formatCode="0.000&quot; F  )&quot;"/>
    <numFmt numFmtId="186" formatCode="0.000"/>
    <numFmt numFmtId="187" formatCode="&quot;=  &quot;0.000&quot; M&quot;"/>
    <numFmt numFmtId="188" formatCode="&quot;(  &quot;#,##0"/>
    <numFmt numFmtId="189" formatCode="&quot;=  &quot;#,##0"/>
    <numFmt numFmtId="190" formatCode="&quot;x  &quot;0.000&quot;  )&quot;"/>
    <numFmt numFmtId="191" formatCode="0&quot;  ÷  &quot;"/>
    <numFmt numFmtId="192" formatCode="&quot;= &quot;0.000&quot; F&quot;"/>
    <numFmt numFmtId="193" formatCode="&quot;Length &quot;0&quot;'&quot;"/>
    <numFmt numFmtId="194" formatCode="&quot;x &quot;#,##0&quot;  )&quot;"/>
    <numFmt numFmtId="195" formatCode="&quot;÷ ( &quot;#,##0"/>
    <numFmt numFmtId="196" formatCode="0&quot; Conductors Per Ø&quot;"/>
    <numFmt numFmtId="197" formatCode="&quot;= &quot;#,##0&quot; FLA&quot;"/>
    <numFmt numFmtId="198" formatCode="&quot;( &quot;0&quot; )  &quot;"/>
    <numFmt numFmtId="199" formatCode="&quot;( &quot;0&quot; FLA&quot;&quot;  x&quot;"/>
    <numFmt numFmtId="200" formatCode="&quot;=  &quot;0.00&quot; TM&quot;"/>
    <numFmt numFmtId="201" formatCode="&quot; + &quot;0&quot; )&quot;"/>
    <numFmt numFmtId="202" formatCode="&quot; x &quot;0.0&quot; )&quot;"/>
    <numFmt numFmtId="203" formatCode="&quot;x   &quot;0.0&quot; UA  )&quot;"/>
    <numFmt numFmtId="204" formatCode="&quot; +  &quot;0&quot; MC&quot;"/>
    <numFmt numFmtId="205" formatCode="&quot;+  &quot;0&quot; MC&quot;\ \)"/>
    <numFmt numFmtId="206" formatCode="&quot; &quot;0.00&quot; TM )&quot;"/>
    <numFmt numFmtId="207" formatCode="#,##0.0"/>
    <numFmt numFmtId="208" formatCode="#,##0.000"/>
  </numFmts>
  <fonts count="6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22"/>
      <name val="Arial"/>
      <family val="2"/>
    </font>
    <font>
      <b/>
      <sz val="8"/>
      <color indexed="9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protection hidden="1"/>
    </xf>
    <xf numFmtId="1" fontId="1" fillId="0" borderId="0" xfId="0" applyNumberFormat="1" applyFont="1" applyBorder="1" applyAlignment="1" applyProtection="1">
      <alignment horizontal="center"/>
      <protection hidden="1"/>
    </xf>
    <xf numFmtId="171" fontId="1" fillId="0" borderId="0" xfId="0" applyNumberFormat="1" applyFont="1" applyBorder="1" applyAlignment="1" applyProtection="1">
      <protection hidden="1"/>
    </xf>
    <xf numFmtId="208" fontId="1" fillId="0" borderId="0" xfId="0" applyNumberFormat="1" applyFont="1" applyBorder="1" applyAlignment="1" applyProtection="1">
      <alignment horizontal="center"/>
      <protection hidden="1"/>
    </xf>
    <xf numFmtId="169" fontId="1" fillId="0" borderId="0" xfId="0" applyNumberFormat="1" applyFont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172" fontId="1" fillId="0" borderId="0" xfId="0" applyNumberFormat="1" applyFont="1" applyBorder="1" applyAlignment="1" applyProtection="1">
      <alignment horizontal="center"/>
      <protection hidden="1"/>
    </xf>
    <xf numFmtId="173" fontId="1" fillId="0" borderId="0" xfId="0" applyNumberFormat="1" applyFont="1" applyBorder="1" applyAlignment="1" applyProtection="1">
      <alignment horizontal="center"/>
      <protection hidden="1"/>
    </xf>
    <xf numFmtId="2" fontId="1" fillId="0" borderId="0" xfId="0" applyNumberFormat="1" applyFont="1" applyBorder="1" applyAlignment="1" applyProtection="1">
      <alignment horizontal="center"/>
      <protection hidden="1"/>
    </xf>
    <xf numFmtId="174" fontId="1" fillId="0" borderId="0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protection hidden="1"/>
    </xf>
    <xf numFmtId="4" fontId="1" fillId="0" borderId="0" xfId="0" applyNumberFormat="1" applyFont="1" applyBorder="1" applyAlignment="1" applyProtection="1">
      <alignment horizontal="center"/>
      <protection hidden="1"/>
    </xf>
    <xf numFmtId="204" fontId="1" fillId="0" borderId="0" xfId="0" applyNumberFormat="1" applyFont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165" fontId="1" fillId="2" borderId="0" xfId="0" applyNumberFormat="1" applyFont="1" applyFill="1" applyProtection="1">
      <protection hidden="1"/>
    </xf>
    <xf numFmtId="180" fontId="1" fillId="0" borderId="0" xfId="0" applyNumberFormat="1" applyFont="1" applyBorder="1" applyAlignment="1" applyProtection="1">
      <alignment horizontal="center"/>
      <protection hidden="1"/>
    </xf>
    <xf numFmtId="180" fontId="1" fillId="0" borderId="0" xfId="0" applyNumberFormat="1" applyFont="1" applyBorder="1" applyAlignment="1" applyProtection="1">
      <protection hidden="1"/>
    </xf>
    <xf numFmtId="202" fontId="1" fillId="0" borderId="0" xfId="0" applyNumberFormat="1" applyFont="1" applyBorder="1" applyAlignment="1" applyProtection="1">
      <alignment horizontal="center"/>
      <protection hidden="1"/>
    </xf>
    <xf numFmtId="176" fontId="1" fillId="0" borderId="0" xfId="0" applyNumberFormat="1" applyFont="1" applyBorder="1" applyAlignment="1" applyProtection="1">
      <alignment horizontal="right"/>
      <protection hidden="1"/>
    </xf>
    <xf numFmtId="3" fontId="1" fillId="0" borderId="0" xfId="0" applyNumberFormat="1" applyFont="1" applyProtection="1">
      <protection hidden="1"/>
    </xf>
    <xf numFmtId="201" fontId="1" fillId="0" borderId="0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207" fontId="1" fillId="0" borderId="0" xfId="0" applyNumberFormat="1" applyFont="1" applyAlignment="1" applyProtection="1">
      <alignment horizontal="center"/>
      <protection hidden="1"/>
    </xf>
    <xf numFmtId="3" fontId="1" fillId="2" borderId="0" xfId="0" applyNumberFormat="1" applyFont="1" applyFill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49" fontId="1" fillId="3" borderId="0" xfId="0" applyNumberFormat="1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3" fontId="1" fillId="3" borderId="0" xfId="0" applyNumberFormat="1" applyFont="1" applyFill="1" applyAlignment="1" applyProtection="1">
      <alignment horizontal="left"/>
      <protection locked="0"/>
    </xf>
    <xf numFmtId="165" fontId="1" fillId="3" borderId="0" xfId="0" applyNumberFormat="1" applyFont="1" applyFill="1" applyAlignment="1" applyProtection="1">
      <alignment horizontal="left"/>
      <protection locked="0"/>
    </xf>
    <xf numFmtId="1" fontId="1" fillId="3" borderId="0" xfId="0" applyNumberFormat="1" applyFont="1" applyFill="1" applyAlignment="1" applyProtection="1">
      <alignment horizontal="left"/>
      <protection locked="0"/>
    </xf>
    <xf numFmtId="4" fontId="1" fillId="3" borderId="0" xfId="0" applyNumberFormat="1" applyFont="1" applyFill="1" applyAlignment="1" applyProtection="1">
      <alignment horizontal="left"/>
      <protection locked="0"/>
    </xf>
    <xf numFmtId="0" fontId="1" fillId="0" borderId="0" xfId="0" applyFont="1" applyBorder="1" applyProtection="1">
      <protection hidden="1"/>
    </xf>
    <xf numFmtId="186" fontId="1" fillId="0" borderId="0" xfId="0" applyNumberFormat="1" applyFont="1" applyBorder="1" applyAlignment="1" applyProtection="1">
      <alignment horizontal="center"/>
      <protection hidden="1"/>
    </xf>
    <xf numFmtId="170" fontId="1" fillId="0" borderId="0" xfId="0" applyNumberFormat="1" applyFont="1" applyBorder="1" applyAlignment="1" applyProtection="1">
      <alignment horizontal="center"/>
      <protection hidden="1"/>
    </xf>
    <xf numFmtId="179" fontId="1" fillId="0" borderId="0" xfId="0" applyNumberFormat="1" applyFont="1" applyBorder="1" applyAlignment="1" applyProtection="1">
      <alignment horizontal="center"/>
      <protection hidden="1"/>
    </xf>
    <xf numFmtId="195" fontId="1" fillId="0" borderId="0" xfId="0" applyNumberFormat="1" applyFont="1" applyBorder="1" applyAlignment="1" applyProtection="1">
      <alignment horizontal="center"/>
      <protection hidden="1"/>
    </xf>
    <xf numFmtId="181" fontId="1" fillId="0" borderId="0" xfId="0" applyNumberFormat="1" applyFont="1" applyBorder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82" fontId="1" fillId="0" borderId="0" xfId="0" applyNumberFormat="1" applyFont="1" applyAlignment="1" applyProtection="1">
      <alignment horizontal="center"/>
      <protection hidden="1"/>
    </xf>
    <xf numFmtId="186" fontId="1" fillId="0" borderId="0" xfId="0" applyNumberFormat="1" applyFont="1" applyAlignment="1" applyProtection="1">
      <alignment horizontal="center"/>
      <protection hidden="1"/>
    </xf>
    <xf numFmtId="194" fontId="1" fillId="0" borderId="0" xfId="0" applyNumberFormat="1" applyFont="1" applyBorder="1" applyAlignment="1" applyProtection="1">
      <alignment horizontal="center"/>
      <protection hidden="1"/>
    </xf>
    <xf numFmtId="183" fontId="1" fillId="0" borderId="0" xfId="0" applyNumberFormat="1" applyFont="1" applyProtection="1">
      <protection hidden="1"/>
    </xf>
    <xf numFmtId="184" fontId="1" fillId="0" borderId="0" xfId="0" applyNumberFormat="1" applyFont="1" applyAlignment="1" applyProtection="1">
      <alignment horizontal="center"/>
      <protection hidden="1"/>
    </xf>
    <xf numFmtId="185" fontId="1" fillId="0" borderId="0" xfId="0" applyNumberFormat="1" applyFont="1" applyAlignment="1" applyProtection="1">
      <alignment horizontal="center"/>
      <protection hidden="1"/>
    </xf>
    <xf numFmtId="187" fontId="1" fillId="0" borderId="0" xfId="0" applyNumberFormat="1" applyFont="1" applyProtection="1">
      <protection hidden="1"/>
    </xf>
    <xf numFmtId="191" fontId="1" fillId="0" borderId="0" xfId="0" applyNumberFormat="1" applyFont="1" applyAlignment="1" applyProtection="1">
      <alignment horizontal="right"/>
      <protection hidden="1"/>
    </xf>
    <xf numFmtId="188" fontId="1" fillId="0" borderId="0" xfId="0" applyNumberFormat="1" applyFont="1" applyAlignment="1" applyProtection="1">
      <alignment horizontal="center"/>
      <protection hidden="1"/>
    </xf>
    <xf numFmtId="190" fontId="1" fillId="0" borderId="0" xfId="0" applyNumberFormat="1" applyFont="1" applyAlignment="1" applyProtection="1">
      <alignment horizontal="center"/>
      <protection hidden="1"/>
    </xf>
    <xf numFmtId="189" fontId="1" fillId="0" borderId="0" xfId="0" applyNumberFormat="1" applyFont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left"/>
      <protection hidden="1"/>
    </xf>
    <xf numFmtId="208" fontId="1" fillId="0" borderId="0" xfId="0" applyNumberFormat="1" applyFont="1" applyAlignment="1" applyProtection="1">
      <alignment horizontal="center"/>
      <protection hidden="1"/>
    </xf>
    <xf numFmtId="0" fontId="1" fillId="0" borderId="0" xfId="0" applyNumberFormat="1" applyFont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  <xf numFmtId="0" fontId="1" fillId="3" borderId="0" xfId="0" applyFont="1" applyFill="1" applyAlignment="1" applyProtection="1">
      <alignment horizontal="right"/>
      <protection locked="0"/>
    </xf>
    <xf numFmtId="3" fontId="1" fillId="3" borderId="0" xfId="0" applyNumberFormat="1" applyFont="1" applyFill="1" applyAlignment="1" applyProtection="1">
      <alignment horizontal="right"/>
      <protection locked="0"/>
    </xf>
    <xf numFmtId="196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171" fontId="1" fillId="0" borderId="0" xfId="0" applyNumberFormat="1" applyFont="1" applyBorder="1" applyAlignment="1" applyProtection="1">
      <alignment horizontal="right"/>
      <protection hidden="1"/>
    </xf>
    <xf numFmtId="166" fontId="1" fillId="0" borderId="0" xfId="0" applyNumberFormat="1" applyFont="1" applyBorder="1" applyAlignment="1" applyProtection="1">
      <alignment horizontal="center"/>
      <protection hidden="1"/>
    </xf>
    <xf numFmtId="167" fontId="1" fillId="0" borderId="0" xfId="0" applyNumberFormat="1" applyFont="1" applyBorder="1" applyAlignment="1" applyProtection="1">
      <alignment horizontal="center"/>
      <protection hidden="1"/>
    </xf>
    <xf numFmtId="197" fontId="1" fillId="0" borderId="0" xfId="0" applyNumberFormat="1" applyFont="1" applyBorder="1" applyAlignment="1" applyProtection="1">
      <alignment horizontal="left"/>
      <protection hidden="1"/>
    </xf>
    <xf numFmtId="168" fontId="1" fillId="0" borderId="0" xfId="0" applyNumberFormat="1" applyFont="1" applyBorder="1" applyAlignment="1" applyProtection="1">
      <alignment horizontal="left"/>
      <protection hidden="1"/>
    </xf>
    <xf numFmtId="193" fontId="1" fillId="0" borderId="0" xfId="0" applyNumberFormat="1" applyFont="1" applyAlignment="1" applyProtection="1">
      <alignment horizontal="left"/>
      <protection hidden="1"/>
    </xf>
    <xf numFmtId="198" fontId="1" fillId="0" borderId="0" xfId="0" applyNumberFormat="1" applyFont="1" applyBorder="1" applyAlignment="1" applyProtection="1">
      <alignment horizontal="left"/>
      <protection hidden="1"/>
    </xf>
    <xf numFmtId="198" fontId="1" fillId="0" borderId="0" xfId="0" applyNumberFormat="1" applyFont="1" applyBorder="1" applyAlignment="1" applyProtection="1">
      <alignment horizontal="right"/>
      <protection hidden="1"/>
    </xf>
    <xf numFmtId="200" fontId="1" fillId="0" borderId="0" xfId="0" applyNumberFormat="1" applyFont="1" applyBorder="1" applyAlignment="1" applyProtection="1">
      <alignment horizontal="center"/>
      <protection hidden="1"/>
    </xf>
    <xf numFmtId="192" fontId="1" fillId="0" borderId="0" xfId="0" applyNumberFormat="1" applyFont="1" applyAlignment="1" applyProtection="1">
      <alignment horizontal="left"/>
      <protection hidden="1"/>
    </xf>
    <xf numFmtId="199" fontId="1" fillId="0" borderId="0" xfId="0" applyNumberFormat="1" applyFont="1" applyBorder="1" applyAlignment="1" applyProtection="1">
      <alignment horizontal="right"/>
      <protection hidden="1"/>
    </xf>
    <xf numFmtId="206" fontId="1" fillId="0" borderId="0" xfId="0" applyNumberFormat="1" applyFont="1" applyBorder="1" applyAlignment="1" applyProtection="1">
      <alignment horizontal="left"/>
      <protection hidden="1"/>
    </xf>
    <xf numFmtId="203" fontId="1" fillId="0" borderId="0" xfId="0" applyNumberFormat="1" applyFont="1" applyBorder="1" applyAlignment="1" applyProtection="1">
      <alignment horizontal="left"/>
      <protection hidden="1"/>
    </xf>
    <xf numFmtId="205" fontId="1" fillId="0" borderId="0" xfId="0" applyNumberFormat="1" applyFont="1" applyBorder="1" applyAlignment="1" applyProtection="1">
      <alignment horizontal="left"/>
      <protection hidden="1"/>
    </xf>
    <xf numFmtId="189" fontId="1" fillId="0" borderId="0" xfId="0" applyNumberFormat="1" applyFont="1" applyAlignment="1" applyProtection="1">
      <alignment horizontal="right"/>
      <protection hidden="1"/>
    </xf>
    <xf numFmtId="175" fontId="1" fillId="0" borderId="0" xfId="0" applyNumberFormat="1" applyFont="1" applyFill="1" applyBorder="1" applyAlignment="1" applyProtection="1">
      <alignment horizontal="left"/>
      <protection hidden="1"/>
    </xf>
    <xf numFmtId="175" fontId="1" fillId="0" borderId="0" xfId="0" applyNumberFormat="1" applyFont="1" applyFill="1" applyBorder="1" applyAlignment="1" applyProtection="1">
      <alignment horizontal="right"/>
      <protection hidden="1"/>
    </xf>
    <xf numFmtId="177" fontId="1" fillId="0" borderId="0" xfId="0" applyNumberFormat="1" applyFont="1" applyFill="1" applyBorder="1" applyAlignment="1" applyProtection="1">
      <alignment horizontal="left"/>
      <protection hidden="1"/>
    </xf>
    <xf numFmtId="178" fontId="1" fillId="0" borderId="0" xfId="0" applyNumberFormat="1" applyFont="1" applyBorder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" fillId="0" borderId="4" xfId="0" applyFont="1" applyBorder="1" applyProtection="1">
      <protection hidden="1"/>
    </xf>
    <xf numFmtId="0" fontId="1" fillId="0" borderId="0" xfId="0" applyFont="1" applyFill="1" applyProtection="1">
      <protection hidden="1"/>
    </xf>
    <xf numFmtId="0" fontId="1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165" fontId="1" fillId="4" borderId="0" xfId="0" applyNumberFormat="1" applyFont="1" applyFill="1" applyProtection="1">
      <protection hidden="1"/>
    </xf>
    <xf numFmtId="3" fontId="1" fillId="4" borderId="0" xfId="0" applyNumberFormat="1" applyFont="1" applyFill="1" applyAlignment="1" applyProtection="1">
      <alignment horizontal="left"/>
      <protection hidden="1"/>
    </xf>
  </cellXfs>
  <cellStyles count="1">
    <cellStyle name="Normal" xfId="0" builtinId="0"/>
  </cellStyles>
  <dxfs count="16">
    <dxf>
      <border>
        <left style="thin">
          <color indexed="64"/>
        </left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10"/>
      </font>
      <fill>
        <patternFill>
          <bgColor indexed="9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5"/>
  <sheetViews>
    <sheetView showGridLines="0" showRowColHeaders="0" tabSelected="1" workbookViewId="0"/>
  </sheetViews>
  <sheetFormatPr defaultColWidth="0" defaultRowHeight="11.25" zeroHeight="1"/>
  <cols>
    <col min="1" max="1" width="4.7109375" style="2" customWidth="1"/>
    <col min="2" max="2" width="29.5703125" style="2" customWidth="1"/>
    <col min="3" max="3" width="22.5703125" style="2" customWidth="1"/>
    <col min="4" max="4" width="2.7109375" style="2" customWidth="1"/>
    <col min="5" max="5" width="10.85546875" style="2" customWidth="1"/>
    <col min="6" max="8" width="9.140625" style="2" customWidth="1"/>
    <col min="9" max="12" width="0" style="2" hidden="1" customWidth="1"/>
    <col min="13" max="13" width="2.7109375" style="4" hidden="1" customWidth="1"/>
    <col min="14" max="14" width="10.7109375" style="4" hidden="1" customWidth="1"/>
    <col min="15" max="15" width="7.5703125" style="5" hidden="1" customWidth="1"/>
    <col min="16" max="16" width="9.7109375" style="4" hidden="1" customWidth="1"/>
    <col min="17" max="17" width="6.42578125" style="4" hidden="1" customWidth="1"/>
    <col min="18" max="18" width="10.7109375" style="4" hidden="1" customWidth="1"/>
    <col min="19" max="19" width="6.28515625" style="4" hidden="1" customWidth="1"/>
    <col min="20" max="20" width="10.7109375" style="4" hidden="1" customWidth="1"/>
    <col min="21" max="21" width="8.28515625" style="4" hidden="1" customWidth="1"/>
    <col min="22" max="22" width="10.42578125" style="4" hidden="1" customWidth="1"/>
    <col min="23" max="16384" width="0" style="2" hidden="1"/>
  </cols>
  <sheetData>
    <row r="1" spans="1:22">
      <c r="A1" s="1"/>
      <c r="B1" s="1"/>
      <c r="C1" s="1"/>
      <c r="D1" s="1"/>
      <c r="E1" s="1"/>
      <c r="F1" s="1"/>
      <c r="G1" s="1"/>
      <c r="H1" s="1"/>
      <c r="M1" s="3"/>
    </row>
    <row r="2" spans="1:22">
      <c r="A2" s="1"/>
      <c r="B2" s="6" t="s">
        <v>1</v>
      </c>
      <c r="C2" s="1"/>
      <c r="D2" s="1"/>
      <c r="E2" s="1"/>
      <c r="F2" s="1"/>
      <c r="G2" s="1"/>
      <c r="H2" s="1"/>
    </row>
    <row r="3" spans="1:22">
      <c r="A3" s="1"/>
      <c r="B3" s="6" t="s">
        <v>59</v>
      </c>
      <c r="C3" s="1"/>
      <c r="D3" s="1"/>
      <c r="E3" s="1"/>
      <c r="F3" s="1"/>
      <c r="G3" s="1"/>
      <c r="H3" s="1"/>
      <c r="M3" s="3"/>
      <c r="N3" s="3"/>
      <c r="P3" s="3"/>
      <c r="Q3" s="3"/>
      <c r="R3" s="3"/>
      <c r="S3" s="3"/>
    </row>
    <row r="4" spans="1:22">
      <c r="A4" s="1"/>
      <c r="B4" s="1"/>
      <c r="C4" s="1"/>
      <c r="D4" s="1"/>
      <c r="E4" s="1"/>
      <c r="F4" s="1"/>
      <c r="G4" s="1"/>
      <c r="H4" s="1"/>
      <c r="M4" s="7"/>
      <c r="N4" s="8"/>
      <c r="O4" s="9"/>
      <c r="P4" s="8"/>
      <c r="Q4" s="8"/>
      <c r="R4" s="8"/>
      <c r="S4" s="8"/>
      <c r="T4" s="8"/>
      <c r="U4" s="8"/>
      <c r="V4" s="8"/>
    </row>
    <row r="5" spans="1:22">
      <c r="A5" s="1"/>
      <c r="B5" s="1" t="s">
        <v>89</v>
      </c>
      <c r="C5" s="36" t="s">
        <v>104</v>
      </c>
      <c r="D5" s="1"/>
      <c r="E5" s="1"/>
      <c r="F5" s="1"/>
      <c r="G5" s="1"/>
      <c r="H5" s="1"/>
      <c r="M5" s="8"/>
      <c r="N5" s="10"/>
      <c r="O5" s="11"/>
      <c r="P5" s="10"/>
      <c r="Q5" s="8"/>
      <c r="R5" s="10"/>
      <c r="S5" s="10"/>
      <c r="T5" s="12"/>
      <c r="U5" s="13"/>
      <c r="V5" s="10"/>
    </row>
    <row r="6" spans="1:22">
      <c r="A6" s="1"/>
      <c r="B6" s="1" t="s">
        <v>90</v>
      </c>
      <c r="C6" s="36" t="s">
        <v>62</v>
      </c>
      <c r="D6" s="1"/>
      <c r="E6" s="1"/>
      <c r="F6" s="1"/>
      <c r="G6" s="1"/>
      <c r="H6" s="1"/>
      <c r="M6" s="8"/>
      <c r="N6" s="10"/>
      <c r="O6" s="11"/>
      <c r="P6" s="10"/>
      <c r="Q6" s="8"/>
      <c r="R6" s="10"/>
      <c r="S6" s="10"/>
      <c r="T6" s="12"/>
      <c r="U6" s="13"/>
      <c r="V6" s="10"/>
    </row>
    <row r="7" spans="1:22">
      <c r="A7" s="1"/>
      <c r="B7" s="1" t="s">
        <v>91</v>
      </c>
      <c r="C7" s="36" t="s">
        <v>63</v>
      </c>
      <c r="D7" s="1"/>
      <c r="E7" s="1"/>
      <c r="F7" s="1"/>
      <c r="G7" s="1"/>
      <c r="H7" s="1"/>
      <c r="M7" s="8"/>
      <c r="N7" s="10"/>
      <c r="O7" s="11"/>
      <c r="P7" s="10"/>
      <c r="Q7" s="8"/>
      <c r="R7" s="10"/>
      <c r="S7" s="10"/>
      <c r="T7" s="10"/>
      <c r="U7" s="13"/>
      <c r="V7" s="10"/>
    </row>
    <row r="8" spans="1:22">
      <c r="A8" s="1"/>
      <c r="B8" s="1" t="s">
        <v>92</v>
      </c>
      <c r="C8" s="37" t="s">
        <v>101</v>
      </c>
      <c r="D8" s="1"/>
      <c r="E8" s="14" t="str">
        <f>IF(I8&gt;0,"&lt;&lt; ERROR"," ")</f>
        <v xml:space="preserve"> </v>
      </c>
      <c r="F8" s="1"/>
      <c r="G8" s="1"/>
      <c r="H8" s="1"/>
      <c r="I8" s="2">
        <f>IF(ISBLANK(C8)=TRUE,1,IF(C8="Transformer Known AFC",0,IF(C8="Utility Transfomer Infinite Bus",0,IF(C8="No Transformer",0,1))))</f>
        <v>0</v>
      </c>
      <c r="J8" s="2">
        <f>IF(C8="Utility Transfomer Infinite Bus",1,IF(C8="Transformer Known AFC",3,IF(C8="No Transformer",2,0)))</f>
        <v>3</v>
      </c>
      <c r="M8" s="7"/>
      <c r="N8" s="8"/>
      <c r="O8" s="9"/>
      <c r="P8" s="8"/>
      <c r="Q8" s="8"/>
      <c r="R8" s="8"/>
      <c r="S8" s="8"/>
      <c r="T8" s="8"/>
      <c r="U8" s="8"/>
      <c r="V8" s="10"/>
    </row>
    <row r="9" spans="1:22">
      <c r="A9" s="1"/>
      <c r="B9" s="1" t="s">
        <v>93</v>
      </c>
      <c r="C9" s="38">
        <v>39425</v>
      </c>
      <c r="D9" s="1"/>
      <c r="E9" s="14" t="str">
        <f t="shared" ref="E9:E16" si="0">IF(I9&gt;0,"&lt;&lt; ERROR"," ")</f>
        <v xml:space="preserve"> </v>
      </c>
      <c r="F9" s="1"/>
      <c r="G9" s="1"/>
      <c r="H9" s="1"/>
      <c r="I9" s="2">
        <f>IF(ISBLANK(C9)=TRUE,1,IF(ISTEXT(C9)=TRUE,1,IF(C9&lt;0.00001,1,0)))</f>
        <v>0</v>
      </c>
      <c r="M9" s="8"/>
      <c r="N9" s="10"/>
      <c r="O9" s="8"/>
      <c r="P9" s="15"/>
      <c r="Q9" s="16"/>
      <c r="R9" s="15"/>
      <c r="S9" s="17"/>
      <c r="T9" s="18"/>
      <c r="U9" s="19"/>
      <c r="V9" s="8"/>
    </row>
    <row r="10" spans="1:22">
      <c r="A10" s="1"/>
      <c r="B10" s="1" t="s">
        <v>94</v>
      </c>
      <c r="C10" s="38">
        <v>300</v>
      </c>
      <c r="D10" s="1"/>
      <c r="E10" s="14" t="str">
        <f t="shared" si="0"/>
        <v xml:space="preserve"> </v>
      </c>
      <c r="F10" s="1"/>
      <c r="G10" s="1"/>
      <c r="H10" s="1"/>
      <c r="I10" s="2">
        <f>IF(ISBLANK(C10)=TRUE,1,IF(ISTEXT(C10)=TRUE,1,IF(C10&lt;0.00001,1,0)))</f>
        <v>0</v>
      </c>
      <c r="M10" s="8"/>
      <c r="N10" s="10"/>
      <c r="O10" s="8"/>
      <c r="P10" s="10"/>
      <c r="Q10" s="16"/>
      <c r="R10" s="10"/>
      <c r="S10" s="17"/>
      <c r="T10" s="10"/>
      <c r="U10" s="8"/>
      <c r="V10" s="8"/>
    </row>
    <row r="11" spans="1:22">
      <c r="A11" s="1"/>
      <c r="B11" s="1" t="s">
        <v>108</v>
      </c>
      <c r="C11" s="38" t="s">
        <v>0</v>
      </c>
      <c r="D11" s="1"/>
      <c r="E11" s="14" t="str">
        <f t="shared" si="0"/>
        <v xml:space="preserve"> </v>
      </c>
      <c r="F11" s="1"/>
      <c r="G11" s="1"/>
      <c r="H11" s="1"/>
      <c r="I11" s="2">
        <f>IF(ISBLANK(C11)=TRUE,1,IF(ISNUMBER(C11)=TRUE,1,IF(C11&lt;0.00001,1,0)))</f>
        <v>0</v>
      </c>
      <c r="K11" s="2">
        <f>IF(C11="Single Phase",1,1.732)</f>
        <v>1.732</v>
      </c>
      <c r="M11" s="8"/>
      <c r="N11" s="10"/>
      <c r="O11" s="8"/>
      <c r="P11" s="10"/>
      <c r="Q11" s="16"/>
      <c r="R11" s="10"/>
      <c r="S11" s="17"/>
      <c r="T11" s="10"/>
      <c r="U11" s="8"/>
      <c r="V11" s="8"/>
    </row>
    <row r="12" spans="1:22">
      <c r="A12" s="1"/>
      <c r="B12" s="1" t="s">
        <v>95</v>
      </c>
      <c r="C12" s="37">
        <v>480</v>
      </c>
      <c r="D12" s="1"/>
      <c r="E12" s="14" t="str">
        <f t="shared" si="0"/>
        <v xml:space="preserve"> </v>
      </c>
      <c r="F12" s="1"/>
      <c r="G12" s="1"/>
      <c r="H12" s="1"/>
      <c r="I12" s="2">
        <f>IF(ISBLANK(C12)=TRUE,1,IF(ISTEXT(C12)=TRUE,1,IF(C12&lt;0.00001,1,0)))</f>
        <v>0</v>
      </c>
      <c r="M12" s="7"/>
      <c r="N12" s="8"/>
      <c r="O12" s="9"/>
      <c r="P12" s="8"/>
      <c r="Q12" s="8"/>
      <c r="R12" s="8"/>
      <c r="S12" s="8"/>
      <c r="T12" s="8"/>
      <c r="U12" s="8"/>
      <c r="V12" s="8"/>
    </row>
    <row r="13" spans="1:22">
      <c r="A13" s="1"/>
      <c r="B13" s="1" t="s">
        <v>96</v>
      </c>
      <c r="C13" s="39">
        <v>2</v>
      </c>
      <c r="D13" s="1"/>
      <c r="E13" s="14" t="str">
        <f t="shared" si="0"/>
        <v xml:space="preserve"> </v>
      </c>
      <c r="F13" s="1"/>
      <c r="G13" s="1"/>
      <c r="H13" s="1"/>
      <c r="I13" s="2">
        <f>IF(ISBLANK(C13)=TRUE,1,IF(ISTEXT(C13)=TRUE,1,IF(C13&lt;0.00001,1,0)))</f>
        <v>0</v>
      </c>
      <c r="M13" s="8"/>
      <c r="N13" s="20"/>
      <c r="O13" s="21"/>
      <c r="P13" s="22"/>
      <c r="Q13" s="8"/>
      <c r="R13" s="15"/>
      <c r="S13" s="8"/>
      <c r="T13" s="20"/>
      <c r="U13" s="23"/>
      <c r="V13" s="20"/>
    </row>
    <row r="14" spans="1:22">
      <c r="A14" s="1"/>
      <c r="B14" s="1" t="s">
        <v>97</v>
      </c>
      <c r="C14" s="37">
        <v>208</v>
      </c>
      <c r="D14" s="1"/>
      <c r="E14" s="14" t="str">
        <f t="shared" si="0"/>
        <v xml:space="preserve"> </v>
      </c>
      <c r="F14" s="1"/>
      <c r="G14" s="1"/>
      <c r="H14" s="1"/>
      <c r="I14" s="2">
        <f>IF(ISBLANK(C14)=TRUE,1,IF(ISTEXT(C14)=TRUE,1,IF(C14&lt;0.00001,1,0)))</f>
        <v>0</v>
      </c>
      <c r="M14" s="8"/>
      <c r="N14" s="10"/>
      <c r="O14" s="21"/>
      <c r="P14" s="10"/>
      <c r="Q14" s="8"/>
      <c r="R14" s="10"/>
      <c r="S14" s="8"/>
      <c r="T14" s="10"/>
      <c r="U14" s="23"/>
      <c r="V14" s="10"/>
    </row>
    <row r="15" spans="1:22">
      <c r="A15" s="24" t="s">
        <v>39</v>
      </c>
      <c r="B15" s="1" t="s">
        <v>98</v>
      </c>
      <c r="C15" s="40">
        <v>0</v>
      </c>
      <c r="D15" s="1"/>
      <c r="E15" s="14" t="str">
        <f t="shared" si="0"/>
        <v xml:space="preserve"> </v>
      </c>
      <c r="F15" s="1"/>
      <c r="G15" s="1"/>
      <c r="H15" s="1"/>
      <c r="I15" s="2">
        <f>IF(ISBLANK(C15)=TRUE,1,IF(C15&lt;0,1,IF(ISTEXT(C15)=TRUE,1,0)))</f>
        <v>0</v>
      </c>
      <c r="M15" s="3"/>
      <c r="N15" s="8"/>
      <c r="O15" s="9"/>
      <c r="P15" s="8"/>
      <c r="Q15" s="8"/>
      <c r="R15" s="8"/>
      <c r="S15" s="8"/>
      <c r="T15" s="10"/>
      <c r="U15" s="23"/>
      <c r="V15" s="10"/>
    </row>
    <row r="16" spans="1:22">
      <c r="A16" s="24" t="s">
        <v>99</v>
      </c>
      <c r="B16" s="1" t="s">
        <v>100</v>
      </c>
      <c r="C16" s="41">
        <v>1</v>
      </c>
      <c r="D16" s="1"/>
      <c r="E16" s="14" t="str">
        <f t="shared" si="0"/>
        <v xml:space="preserve"> </v>
      </c>
      <c r="F16" s="1"/>
      <c r="G16" s="1"/>
      <c r="H16" s="1"/>
      <c r="I16" s="2">
        <f>IF(ISBLANK(C16)=TRUE,1,IF(C16&lt;1,1,IF(ISTEXT(C16)=TRUE,1,0)))</f>
        <v>0</v>
      </c>
      <c r="M16" s="8"/>
      <c r="N16" s="26"/>
      <c r="O16" s="27"/>
      <c r="P16" s="28"/>
      <c r="Q16" s="28"/>
      <c r="R16" s="29"/>
      <c r="S16" s="29"/>
      <c r="T16" s="10"/>
      <c r="U16" s="23"/>
      <c r="V16" s="10"/>
    </row>
    <row r="17" spans="1:22">
      <c r="A17" s="1"/>
      <c r="B17" s="1"/>
      <c r="C17" s="25"/>
      <c r="D17" s="1"/>
      <c r="E17" s="1"/>
      <c r="F17" s="1"/>
      <c r="G17" s="1"/>
      <c r="H17" s="1"/>
      <c r="K17" s="30"/>
      <c r="T17" s="10"/>
      <c r="U17" s="8"/>
      <c r="V17" s="20"/>
    </row>
    <row r="18" spans="1:22">
      <c r="A18" s="24" t="s">
        <v>39</v>
      </c>
      <c r="B18" s="1" t="s">
        <v>38</v>
      </c>
      <c r="C18" s="25"/>
      <c r="D18" s="1"/>
      <c r="E18" s="1"/>
      <c r="F18" s="1"/>
      <c r="G18" s="1"/>
      <c r="H18" s="1"/>
      <c r="M18" s="7"/>
      <c r="T18" s="10"/>
      <c r="U18" s="8"/>
      <c r="V18" s="10"/>
    </row>
    <row r="19" spans="1:22">
      <c r="A19" s="1"/>
      <c r="B19" s="1" t="s">
        <v>34</v>
      </c>
      <c r="C19" s="25"/>
      <c r="D19" s="1"/>
      <c r="E19" s="1"/>
      <c r="F19" s="1"/>
      <c r="G19" s="1"/>
      <c r="H19" s="1"/>
      <c r="N19" s="26"/>
      <c r="O19" s="27"/>
      <c r="P19" s="31"/>
      <c r="Q19" s="31"/>
      <c r="R19" s="29"/>
      <c r="S19" s="29"/>
      <c r="T19" s="7"/>
      <c r="U19" s="7"/>
      <c r="V19" s="10"/>
    </row>
    <row r="20" spans="1:22">
      <c r="A20" s="1"/>
      <c r="B20" s="1" t="s">
        <v>35</v>
      </c>
      <c r="C20" s="25"/>
      <c r="D20" s="1"/>
      <c r="E20" s="1"/>
      <c r="F20" s="1"/>
      <c r="G20" s="1"/>
      <c r="H20" s="1"/>
      <c r="V20" s="10"/>
    </row>
    <row r="21" spans="1:22">
      <c r="A21" s="1"/>
      <c r="B21" s="1" t="s">
        <v>36</v>
      </c>
      <c r="C21" s="25"/>
      <c r="D21" s="1"/>
      <c r="E21" s="1"/>
      <c r="F21" s="1"/>
      <c r="G21" s="1"/>
      <c r="H21" s="1"/>
      <c r="M21" s="7"/>
    </row>
    <row r="22" spans="1:22">
      <c r="A22" s="1"/>
      <c r="B22" s="1" t="s">
        <v>37</v>
      </c>
      <c r="C22" s="25"/>
      <c r="D22" s="1"/>
      <c r="E22" s="1"/>
      <c r="F22" s="1"/>
      <c r="G22" s="1"/>
      <c r="H22" s="1"/>
      <c r="L22" s="4"/>
      <c r="M22" s="5"/>
      <c r="N22" s="5"/>
      <c r="P22" s="5"/>
      <c r="Q22" s="5"/>
      <c r="R22" s="5"/>
      <c r="S22" s="5"/>
      <c r="T22" s="7"/>
      <c r="U22" s="7"/>
    </row>
    <row r="23" spans="1:22">
      <c r="A23" s="1"/>
      <c r="B23" s="1" t="s">
        <v>40</v>
      </c>
      <c r="C23" s="25"/>
      <c r="D23" s="1"/>
      <c r="E23" s="1"/>
      <c r="F23" s="1"/>
      <c r="G23" s="1"/>
      <c r="H23" s="1"/>
      <c r="L23" s="4"/>
      <c r="M23" s="5"/>
      <c r="N23" s="5"/>
      <c r="P23" s="5"/>
      <c r="Q23" s="5"/>
      <c r="R23" s="5"/>
      <c r="S23" s="5"/>
    </row>
    <row r="24" spans="1:22">
      <c r="A24" s="1"/>
      <c r="B24" s="1"/>
      <c r="C24" s="25"/>
      <c r="D24" s="1"/>
      <c r="E24" s="1"/>
      <c r="F24" s="1"/>
      <c r="G24" s="1"/>
      <c r="H24" s="1"/>
      <c r="L24" s="4"/>
      <c r="N24" s="32"/>
      <c r="O24" s="4"/>
      <c r="T24" s="33"/>
      <c r="V24" s="32"/>
    </row>
    <row r="25" spans="1:22">
      <c r="A25" s="24" t="s">
        <v>99</v>
      </c>
      <c r="B25" s="1" t="s">
        <v>102</v>
      </c>
      <c r="C25" s="25"/>
      <c r="D25" s="1"/>
      <c r="E25" s="1"/>
      <c r="F25" s="1"/>
      <c r="G25" s="1"/>
      <c r="H25" s="1"/>
      <c r="N25" s="10"/>
      <c r="O25" s="4"/>
      <c r="P25" s="10"/>
      <c r="R25" s="10"/>
      <c r="T25" s="10"/>
      <c r="V25" s="10"/>
    </row>
    <row r="26" spans="1:22">
      <c r="A26" s="1"/>
      <c r="B26" s="1" t="s">
        <v>103</v>
      </c>
      <c r="C26" s="25"/>
      <c r="D26" s="1"/>
      <c r="E26" s="1"/>
      <c r="F26" s="1"/>
      <c r="G26" s="1"/>
      <c r="H26" s="1"/>
      <c r="N26" s="4" t="s">
        <v>66</v>
      </c>
      <c r="O26" s="3" t="str">
        <f>C5</f>
        <v>Smioth Ranch</v>
      </c>
      <c r="R26" s="3" t="str">
        <f>CONCATENATE(N26,O26)</f>
        <v>Project Name - Smioth Ranch</v>
      </c>
    </row>
    <row r="27" spans="1:22">
      <c r="A27" s="1"/>
      <c r="B27" s="1"/>
      <c r="C27" s="25"/>
      <c r="D27" s="1"/>
      <c r="E27" s="1"/>
      <c r="F27" s="1"/>
      <c r="G27" s="1"/>
      <c r="H27" s="1"/>
      <c r="K27" s="4"/>
      <c r="O27" s="4"/>
    </row>
    <row r="28" spans="1:22">
      <c r="A28" s="1"/>
      <c r="B28" s="95"/>
      <c r="C28" s="97"/>
      <c r="D28" s="1"/>
      <c r="E28" s="1"/>
      <c r="F28" s="1"/>
      <c r="G28" s="1"/>
      <c r="H28" s="1"/>
      <c r="K28" s="4"/>
      <c r="N28" s="4" t="s">
        <v>64</v>
      </c>
      <c r="O28" s="3" t="str">
        <f>C6</f>
        <v>Main Service</v>
      </c>
      <c r="R28" s="3" t="str">
        <f>CONCATENATE(N28,O28)</f>
        <v>Starting Point - Main Service</v>
      </c>
    </row>
    <row r="29" spans="1:22">
      <c r="A29" s="1"/>
      <c r="B29" s="96" t="s">
        <v>127</v>
      </c>
      <c r="C29" s="95"/>
      <c r="D29" s="1"/>
      <c r="E29" s="1"/>
      <c r="F29" s="1"/>
      <c r="G29" s="1"/>
      <c r="H29" s="1"/>
      <c r="K29" s="4"/>
      <c r="O29" s="3"/>
    </row>
    <row r="30" spans="1:22">
      <c r="A30" s="1"/>
      <c r="B30" s="95"/>
      <c r="C30" s="98"/>
      <c r="D30" s="1"/>
      <c r="E30" s="1"/>
      <c r="F30" s="34"/>
      <c r="G30" s="1"/>
      <c r="H30" s="1"/>
      <c r="I30" s="30">
        <f>SUM(I8:I23)</f>
        <v>0</v>
      </c>
      <c r="N30" s="4" t="s">
        <v>65</v>
      </c>
      <c r="O30" s="3" t="str">
        <f>C7</f>
        <v>Main Switch Board</v>
      </c>
      <c r="R30" s="3" t="str">
        <f>CONCATENATE(N30,O30)</f>
        <v>Ending Point - Main Switch Board</v>
      </c>
    </row>
    <row r="31" spans="1:22">
      <c r="A31" s="1"/>
      <c r="B31" s="1"/>
      <c r="C31" s="1"/>
      <c r="D31" s="1"/>
      <c r="E31" s="1"/>
      <c r="F31" s="1"/>
      <c r="G31" s="1"/>
      <c r="H31" s="1"/>
      <c r="I31" s="30"/>
    </row>
    <row r="32" spans="1:22">
      <c r="A32" s="1"/>
      <c r="B32" s="1"/>
      <c r="C32" s="1"/>
      <c r="D32" s="1"/>
      <c r="E32" s="1"/>
      <c r="F32" s="1"/>
      <c r="G32" s="34"/>
      <c r="H32" s="34"/>
    </row>
    <row r="33" spans="1:10">
      <c r="A33" s="1"/>
      <c r="B33" s="1"/>
      <c r="C33" s="1"/>
      <c r="D33" s="1"/>
      <c r="E33" s="1"/>
      <c r="F33" s="1"/>
      <c r="G33" s="1"/>
      <c r="H33" s="1"/>
      <c r="I33" s="30">
        <f>C30</f>
        <v>0</v>
      </c>
    </row>
    <row r="34" spans="1:10">
      <c r="A34" s="1"/>
      <c r="B34" s="1"/>
      <c r="C34" s="1"/>
      <c r="D34" s="1"/>
      <c r="E34" s="1"/>
      <c r="F34" s="1"/>
      <c r="G34" s="1"/>
      <c r="H34" s="1"/>
      <c r="I34" s="30"/>
    </row>
    <row r="35" spans="1:10">
      <c r="A35" s="1"/>
      <c r="B35" s="1"/>
      <c r="C35" s="1"/>
      <c r="D35" s="1"/>
      <c r="E35" s="1"/>
      <c r="F35" s="1"/>
      <c r="G35" s="1"/>
      <c r="H35" s="1"/>
      <c r="J35" s="4"/>
    </row>
    <row r="36" spans="1:10">
      <c r="A36" s="1"/>
      <c r="B36" s="1"/>
      <c r="C36" s="1"/>
      <c r="D36" s="1"/>
      <c r="E36" s="1"/>
      <c r="F36" s="1"/>
      <c r="G36" s="1"/>
      <c r="H36" s="1"/>
      <c r="J36" s="4"/>
    </row>
    <row r="37" spans="1:10">
      <c r="A37" s="1"/>
      <c r="B37" s="1"/>
      <c r="C37" s="1"/>
      <c r="D37" s="1"/>
      <c r="E37" s="1"/>
      <c r="F37" s="1"/>
      <c r="G37" s="1"/>
      <c r="H37" s="1"/>
      <c r="J37" s="4"/>
    </row>
    <row r="38" spans="1:10">
      <c r="A38" s="1"/>
      <c r="B38" s="1"/>
      <c r="C38" s="1"/>
      <c r="D38" s="1"/>
      <c r="E38" s="1"/>
      <c r="F38" s="1"/>
      <c r="G38" s="1"/>
      <c r="H38" s="1"/>
    </row>
    <row r="39" spans="1:10">
      <c r="A39" s="1"/>
      <c r="B39" s="1"/>
      <c r="C39" s="1"/>
      <c r="D39" s="1"/>
      <c r="E39" s="1"/>
      <c r="F39" s="1"/>
      <c r="G39" s="1"/>
      <c r="H39" s="1"/>
    </row>
    <row r="40" spans="1:10">
      <c r="A40" s="1"/>
      <c r="B40" s="1"/>
      <c r="C40" s="1"/>
      <c r="D40" s="1"/>
      <c r="E40" s="35"/>
      <c r="F40" s="35"/>
      <c r="G40" s="1"/>
      <c r="H40" s="1"/>
    </row>
    <row r="41" spans="1:10">
      <c r="A41" s="1"/>
      <c r="B41" s="1"/>
      <c r="C41" s="1"/>
      <c r="D41" s="1"/>
      <c r="E41" s="35"/>
      <c r="F41" s="35"/>
      <c r="G41" s="1"/>
      <c r="H41" s="1"/>
      <c r="I41" s="4"/>
    </row>
    <row r="42" spans="1:10">
      <c r="A42" s="1"/>
      <c r="B42" s="1"/>
      <c r="C42" s="1"/>
      <c r="D42" s="1"/>
      <c r="E42" s="35"/>
      <c r="F42" s="35"/>
      <c r="G42" s="35"/>
      <c r="H42" s="35"/>
      <c r="I42" s="4"/>
    </row>
    <row r="43" spans="1:10">
      <c r="A43" s="1"/>
      <c r="B43" s="1"/>
      <c r="C43" s="1"/>
      <c r="D43" s="1"/>
      <c r="E43" s="1"/>
      <c r="F43" s="1"/>
      <c r="G43" s="35"/>
      <c r="H43" s="35"/>
      <c r="I43" s="4"/>
    </row>
    <row r="44" spans="1:10">
      <c r="A44" s="1"/>
      <c r="B44" s="1"/>
      <c r="C44" s="1"/>
      <c r="D44" s="1"/>
      <c r="E44" s="1"/>
      <c r="F44" s="1"/>
      <c r="G44" s="35"/>
      <c r="H44" s="35"/>
    </row>
    <row r="45" spans="1:10">
      <c r="A45" s="1"/>
      <c r="B45" s="1"/>
      <c r="C45" s="1"/>
      <c r="D45" s="1"/>
      <c r="E45" s="1"/>
      <c r="F45" s="1"/>
      <c r="G45" s="1"/>
      <c r="H45" s="1"/>
    </row>
  </sheetData>
  <sheetProtection password="DC0A" sheet="1" objects="1" scenarios="1"/>
  <phoneticPr fontId="0" type="noConversion"/>
  <conditionalFormatting sqref="D9">
    <cfRule type="expression" dxfId="15" priority="1" stopIfTrue="1">
      <formula>IF($I$8=1,TRUE,FALSE)</formula>
    </cfRule>
  </conditionalFormatting>
  <conditionalFormatting sqref="D10:D16">
    <cfRule type="expression" dxfId="14" priority="2" stopIfTrue="1">
      <formula>IF($I$6=1,TRUE,IF($C$6="Manual",TRUE,FALSE))</formula>
    </cfRule>
  </conditionalFormatting>
  <conditionalFormatting sqref="B9:C9">
    <cfRule type="expression" dxfId="13" priority="3" stopIfTrue="1">
      <formula>IF($J$8=1,TRUE,FALSE)</formula>
    </cfRule>
  </conditionalFormatting>
  <conditionalFormatting sqref="B13:C14 A17:C17 A15:A16 B10:C10">
    <cfRule type="expression" dxfId="12" priority="4" stopIfTrue="1">
      <formula>IF($J$8=2,TRUE,FALSE)</formula>
    </cfRule>
  </conditionalFormatting>
  <conditionalFormatting sqref="B12:C12">
    <cfRule type="expression" dxfId="11" priority="5" stopIfTrue="1">
      <formula>IF($J$8=2,TRUE,FALSE)</formula>
    </cfRule>
    <cfRule type="expression" dxfId="10" priority="6" stopIfTrue="1">
      <formula>IF($J$8=1,TRUE,IF($J$8=2,TRUE,FALSE))</formula>
    </cfRule>
  </conditionalFormatting>
  <conditionalFormatting sqref="E8:E16">
    <cfRule type="expression" dxfId="9" priority="7" stopIfTrue="1">
      <formula>IF(I8&gt;0,TRUE,FALSE)</formula>
    </cfRule>
  </conditionalFormatting>
  <dataValidations count="9">
    <dataValidation type="list" allowBlank="1" showInputMessage="1" showErrorMessage="1" errorTitle="Error" error="Click cancel and select from pulldown&#10;menu at right of cell." sqref="C8">
      <formula1>"Utility Transfomer Infinite Bus,Transformer Known AFC,No Transformer"</formula1>
    </dataValidation>
    <dataValidation type="custom" allowBlank="1" showInputMessage="1" showErrorMessage="1" errorTitle="Error" error="Enter available let-through current&#10;Number must larger than zero" sqref="C9">
      <formula1>IF(ISTEXT(C9)=TRUE,FALSE,IF(C9&lt;0.00001,FALSE,TRUE))</formula1>
    </dataValidation>
    <dataValidation type="custom" allowBlank="1" showInputMessage="1" showErrorMessage="1" errorTitle="Error" error="Enter transformer KVA&#10;Number must larger than zero" sqref="C10">
      <formula1>IF(ISTEXT(C10)=TRUE,FALSE,IF(C10&lt;0.00001,FALSE,TRUE))</formula1>
    </dataValidation>
    <dataValidation type="whole" allowBlank="1" showInputMessage="1" showErrorMessage="1" errorTitle="Error" error="Enter whole number between&#10;115 - 600 Volts" sqref="C12 C14">
      <formula1>115</formula1>
      <formula2>600</formula2>
    </dataValidation>
    <dataValidation type="custom" allowBlank="1" showInputMessage="1" showErrorMessage="1" sqref="C17:C28">
      <formula1>IF(ISTEXT(C17)=TRUE,FALSE,IF(C17&lt;0.00001,FALSE,TRUE))</formula1>
    </dataValidation>
    <dataValidation type="custom" allowBlank="1" showInputMessage="1" showErrorMessage="1" errorTitle="Error" error="Enter number 1 or larger" sqref="C16">
      <formula1>IF(ISTEXT(C16)=TRUE,FALSE,IF(C16&lt;1,FALSE,TRUE))</formula1>
    </dataValidation>
    <dataValidation type="custom" allowBlank="1" showInputMessage="1" showErrorMessage="1" errorTitle="Error" error="Enter number larger than zero" sqref="C13">
      <formula1>IF(ISTEXT(C13)=TRUE,FALSE,IF(C13&lt;0.00001,FALSE,TRUE))</formula1>
    </dataValidation>
    <dataValidation type="custom" allowBlank="1" showInputMessage="1" showErrorMessage="1" errorTitle="Error" error="Enter number zero or larger" sqref="C15">
      <formula1>IF(ISTEXT(C15)=TRUE,FALSE,IF(C15&lt;0,FALSE,TRUE))</formula1>
    </dataValidation>
    <dataValidation type="list" allowBlank="1" showInputMessage="1" showErrorMessage="1" sqref="C11">
      <formula1>"Single Phase,Three Phase"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6"/>
  <sheetViews>
    <sheetView showGridLines="0" showRowColHeaders="0" workbookViewId="0">
      <selection activeCell="C1" sqref="C1"/>
    </sheetView>
  </sheetViews>
  <sheetFormatPr defaultColWidth="0" defaultRowHeight="11.25" zeroHeight="1"/>
  <cols>
    <col min="1" max="1" width="4.7109375" style="2" customWidth="1"/>
    <col min="2" max="2" width="47.5703125" style="2" customWidth="1"/>
    <col min="3" max="3" width="19.28515625" style="2" customWidth="1"/>
    <col min="4" max="4" width="2.7109375" style="2" customWidth="1"/>
    <col min="5" max="5" width="16.5703125" style="2" customWidth="1"/>
    <col min="6" max="6" width="12" style="2" customWidth="1"/>
    <col min="7" max="12" width="3.7109375" style="2" hidden="1" customWidth="1"/>
    <col min="13" max="15" width="0" style="2" hidden="1" customWidth="1"/>
    <col min="16" max="16" width="2.7109375" style="4" hidden="1" customWidth="1"/>
    <col min="17" max="17" width="9.42578125" style="4" hidden="1" customWidth="1"/>
    <col min="18" max="18" width="8.5703125" style="4" hidden="1" customWidth="1"/>
    <col min="19" max="19" width="0" style="4" hidden="1" customWidth="1"/>
    <col min="20" max="20" width="7.140625" style="4" hidden="1" customWidth="1"/>
    <col min="21" max="21" width="11.7109375" style="2" hidden="1" customWidth="1"/>
    <col min="22" max="22" width="8.140625" style="2" hidden="1" customWidth="1"/>
    <col min="23" max="23" width="10.140625" style="2" hidden="1" customWidth="1"/>
    <col min="24" max="24" width="6.85546875" style="2" hidden="1" customWidth="1"/>
    <col min="25" max="25" width="0" style="2" hidden="1" customWidth="1"/>
    <col min="26" max="26" width="6" style="2" hidden="1" customWidth="1"/>
    <col min="27" max="16384" width="0" style="2" hidden="1"/>
  </cols>
  <sheetData>
    <row r="1" spans="1:29">
      <c r="A1" s="1"/>
      <c r="B1" s="1"/>
      <c r="C1" s="1"/>
      <c r="D1" s="1"/>
      <c r="E1" s="1"/>
      <c r="F1" s="1"/>
    </row>
    <row r="2" spans="1:29">
      <c r="A2" s="1"/>
      <c r="B2" s="6" t="s">
        <v>15</v>
      </c>
      <c r="C2" s="1"/>
      <c r="D2" s="1"/>
      <c r="E2" s="1"/>
      <c r="F2" s="1"/>
    </row>
    <row r="3" spans="1:29">
      <c r="A3" s="1"/>
      <c r="B3" s="1"/>
      <c r="C3" s="1"/>
      <c r="D3" s="1"/>
      <c r="E3" s="1"/>
      <c r="F3" s="1"/>
      <c r="P3" s="7"/>
      <c r="Q3" s="3"/>
      <c r="R3" s="3"/>
    </row>
    <row r="4" spans="1:29">
      <c r="A4" s="1"/>
      <c r="B4" s="1" t="s">
        <v>107</v>
      </c>
      <c r="C4" s="66">
        <v>20</v>
      </c>
      <c r="D4" s="24"/>
      <c r="E4" s="1"/>
      <c r="F4" s="1"/>
      <c r="L4" s="2">
        <f>IF(ISBLANK(C4)=TRUE,1,0)</f>
        <v>0</v>
      </c>
      <c r="P4" s="7"/>
      <c r="Q4" s="8"/>
      <c r="R4" s="8"/>
      <c r="S4" s="8"/>
      <c r="T4" s="8"/>
      <c r="U4" s="42"/>
      <c r="V4" s="42"/>
      <c r="W4" s="42"/>
      <c r="X4" s="42"/>
      <c r="Y4" s="42"/>
      <c r="Z4" s="42"/>
      <c r="AC4" s="4"/>
    </row>
    <row r="5" spans="1:29">
      <c r="A5" s="1"/>
      <c r="B5" s="1"/>
      <c r="C5" s="24"/>
      <c r="D5" s="24"/>
      <c r="E5" s="1"/>
      <c r="F5" s="1"/>
      <c r="P5" s="8"/>
      <c r="Q5" s="43"/>
      <c r="R5" s="44"/>
      <c r="S5" s="10"/>
      <c r="T5" s="45"/>
      <c r="U5" s="20"/>
      <c r="V5" s="10"/>
      <c r="W5" s="20"/>
      <c r="X5" s="46"/>
      <c r="Y5" s="10"/>
      <c r="Z5" s="47"/>
      <c r="AA5" s="48"/>
      <c r="AB5" s="49"/>
      <c r="AC5" s="50"/>
    </row>
    <row r="6" spans="1:29">
      <c r="A6" s="1"/>
      <c r="B6" s="1" t="s">
        <v>105</v>
      </c>
      <c r="C6" s="24"/>
      <c r="D6" s="24"/>
      <c r="E6" s="1"/>
      <c r="F6" s="1"/>
      <c r="K6" s="2">
        <f>IF(C6="#14",1,IF(C6="#12",1,IF(C6="#10",1,IF(C6="#8",1,IF(C6="#6",1,IF(C6="#4",1,IF(C6="#3",1,IF(C6="#2",1,0))))))))</f>
        <v>0</v>
      </c>
      <c r="P6" s="8"/>
      <c r="Q6" s="10"/>
      <c r="R6" s="44"/>
      <c r="S6" s="10"/>
      <c r="T6" s="45"/>
      <c r="U6" s="10"/>
      <c r="V6" s="51"/>
      <c r="W6" s="10"/>
      <c r="X6" s="46"/>
      <c r="Y6" s="10"/>
      <c r="Z6" s="47"/>
      <c r="AA6" s="10"/>
      <c r="AB6" s="49"/>
      <c r="AC6" s="10"/>
    </row>
    <row r="7" spans="1:29">
      <c r="A7" s="1"/>
      <c r="B7" s="1" t="s">
        <v>7</v>
      </c>
      <c r="C7" s="67" t="s">
        <v>2</v>
      </c>
      <c r="D7" s="24"/>
      <c r="E7" s="1" t="str">
        <f>IF(L7&gt;0,"&lt;&lt; ERROR",IF(AND(K$18&gt;1,K7=1)=TRUE,"&lt;&lt; SELECT ONLY ONE",IF(K$18=0,"&lt;&lt; SELECT ONE","")))</f>
        <v/>
      </c>
      <c r="F7" s="1"/>
      <c r="G7" s="2">
        <f>IF(C7="no",0,IF(ISTEXT(C7)=TRUE,1,"ERROR"))</f>
        <v>1</v>
      </c>
      <c r="H7" s="2">
        <f>IF(C7="#14",1,IF(C7="#12",1,IF(C7="#10",1,IF(C7="#8",1,IF(C7="#6",1,IF(C7="#4",1,IF(C7="#3",1,IF(C7="#2",1,0))))))))</f>
        <v>0</v>
      </c>
      <c r="I7" s="2">
        <f>IF(C7="#1",1,IF(C7="#1/0",1,IF(C7="#2/0",1,IF(C7="#3/0",1,IF(C7="#4/0",1,IF(C7="250 MCM",1,IF(C7="300 MCM",1,IF(C7="350 MCM",1,0))))))))</f>
        <v>0</v>
      </c>
      <c r="J7" s="2">
        <f>IF(C7="400 MCM",1,IF(C7="500 MCM",1,IF(C7="600 MCM",1,IF(C7="750 MCM",1,IF(C7="1000 MCM",1,IF(C7="1000 MCM",1,IF(C7="1000 MCM",1,IF(C7="1000 MCM",1,0))))))))</f>
        <v>1</v>
      </c>
      <c r="K7" s="2">
        <f t="shared" ref="K7:K17" si="0">SUM(H7:J7)</f>
        <v>1</v>
      </c>
      <c r="L7" s="2">
        <f>IF(ISBLANK(C7)=TRUE,1,IF(ISNUMBER(C7)=TRUE,1,0))</f>
        <v>0</v>
      </c>
      <c r="M7" s="2">
        <f>IF(SUM($L7:$L18)=0,0,IF(G7&gt;0,1,0))</f>
        <v>0</v>
      </c>
      <c r="P7" s="8"/>
      <c r="Q7" s="44"/>
      <c r="R7" s="44"/>
      <c r="S7" s="45"/>
      <c r="T7" s="45"/>
      <c r="U7" s="51"/>
      <c r="V7" s="51"/>
      <c r="W7" s="46"/>
      <c r="X7" s="46"/>
      <c r="Y7" s="47"/>
      <c r="Z7" s="47"/>
      <c r="AA7" s="49"/>
      <c r="AB7" s="49"/>
      <c r="AC7" s="52"/>
    </row>
    <row r="8" spans="1:29">
      <c r="A8" s="1"/>
      <c r="B8" s="1" t="s">
        <v>8</v>
      </c>
      <c r="C8" s="67" t="s">
        <v>3</v>
      </c>
      <c r="D8" s="24"/>
      <c r="E8" s="1" t="str">
        <f t="shared" ref="E8:E17" si="1">IF(L8&gt;0,"&lt;&lt; ERROR",IF(AND(K$18&gt;1,K8=1)=TRUE,"&lt;&lt; SELECT ONLY ONE",IF(K$18=0,"&lt;&lt; SELECT ONE","")))</f>
        <v/>
      </c>
      <c r="F8" s="1"/>
      <c r="G8" s="2">
        <f>IF(C8="no",0,IF(ISTEXT(C8)=TRUE,2,"ERROR"))</f>
        <v>0</v>
      </c>
      <c r="H8" s="2">
        <f>IF(C8="#14",1,IF(C8="#12",1,IF(C8="#10",1,IF(C8="#8",1,IF(C8="#6",1,IF(C8="#4",1,IF(C8="#3",1,IF(C8="#2",1,0))))))))</f>
        <v>0</v>
      </c>
      <c r="I8" s="2">
        <f>IF(C8="#1",1,IF(C8="#1/0",1,IF(C8="#2/0",1,IF(C8="#3/0",1,IF(C8="#4/0",1,IF(C8="250 MCM",1,IF(C8="300 MCM",1,IF(C8="350 MCM",1,0))))))))</f>
        <v>0</v>
      </c>
      <c r="J8" s="2">
        <f>IF(C8="400 MCM",1,IF(C8="500 MCM",1,IF(C8="600 MCM",1,IF(C8="750 MCM",1,IF(C8="1000 MCM",1,IF(C8="1000 MCM",1,IF(C8="1000 MCM",1,IF(C8="1000 MCM",1,0))))))))</f>
        <v>0</v>
      </c>
      <c r="K8" s="2">
        <f t="shared" si="0"/>
        <v>0</v>
      </c>
      <c r="L8" s="2">
        <f t="shared" ref="L8:L17" si="2">IF(ISBLANK(C8)=TRUE,1,0)</f>
        <v>0</v>
      </c>
      <c r="M8" s="2">
        <f t="shared" ref="M8:M17" si="3">IF(SUM($L8:$L19)=0,0,IF(G8&gt;0,1,0))</f>
        <v>0</v>
      </c>
      <c r="P8" s="7"/>
      <c r="Q8" s="8"/>
      <c r="R8" s="8"/>
      <c r="S8" s="8"/>
      <c r="T8" s="8"/>
      <c r="U8" s="42"/>
      <c r="V8" s="42"/>
      <c r="W8" s="8"/>
      <c r="X8" s="42"/>
      <c r="Y8" s="42"/>
      <c r="Z8" s="42"/>
    </row>
    <row r="9" spans="1:29">
      <c r="A9" s="1"/>
      <c r="B9" s="1" t="s">
        <v>9</v>
      </c>
      <c r="C9" s="67" t="s">
        <v>3</v>
      </c>
      <c r="D9" s="24"/>
      <c r="E9" s="1" t="str">
        <f t="shared" si="1"/>
        <v/>
      </c>
      <c r="F9" s="1"/>
      <c r="G9" s="2">
        <f>IF(C9="no",0,IF(ISTEXT(C9)=TRUE,3,"ERROR"))</f>
        <v>0</v>
      </c>
      <c r="H9" s="2">
        <f>IF(C9="#14",1,IF(C9="#12",1,IF(C9="#10",1,IF(C9="#8",1,IF(C9="#6",1,IF(C9="#4",1,IF(C9="#3",1,IF(C9="#2",1,0))))))))</f>
        <v>0</v>
      </c>
      <c r="I9" s="2">
        <f>IF(C9="#1",1,IF(C9="#1/0",1,IF(C9="#2/0",1,IF(C9="#3/0",1,IF(C9="#4/0",1,IF(C9="250 MCM",1,IF(C9="300 MCM",1,IF(C9="350 MCM",1,0))))))))</f>
        <v>0</v>
      </c>
      <c r="J9" s="2">
        <f>IF(C9="400 MCM",1,IF(C9="500 MCM",1,IF(C9="600 MCM",1,IF(C9="750 MCM",1,IF(C9="1000 MCM",1,IF(C9="1000 MCM",1,IF(C9="1000 MCM",1,IF(C9="1000 MCM",1,0))))))))</f>
        <v>0</v>
      </c>
      <c r="K9" s="2">
        <f t="shared" si="0"/>
        <v>0</v>
      </c>
      <c r="L9" s="2">
        <f>IF(ISBLANK(C9)=TRUE,1,0)</f>
        <v>0</v>
      </c>
      <c r="M9" s="2">
        <f t="shared" si="3"/>
        <v>0</v>
      </c>
      <c r="Q9" s="48"/>
      <c r="R9" s="51"/>
      <c r="S9" s="48"/>
      <c r="T9" s="53"/>
      <c r="U9" s="50"/>
      <c r="V9" s="54"/>
      <c r="W9" s="50"/>
      <c r="X9" s="55"/>
      <c r="Y9" s="8"/>
      <c r="Z9" s="8"/>
    </row>
    <row r="10" spans="1:29">
      <c r="A10" s="1"/>
      <c r="B10" s="1" t="s">
        <v>10</v>
      </c>
      <c r="C10" s="67" t="s">
        <v>3</v>
      </c>
      <c r="D10" s="24"/>
      <c r="E10" s="1" t="str">
        <f t="shared" si="1"/>
        <v/>
      </c>
      <c r="F10" s="1"/>
      <c r="G10" s="2">
        <f>IF(C10="no",0,IF(ISTEXT(C10)=TRUE,4,"ERROR"))</f>
        <v>0</v>
      </c>
      <c r="H10" s="2">
        <f>IF(C10="#14",1,IF(C10="#12",1,IF(C10="#10",1,IF(C10="#8",1,IF(C10="#6",1,IF(C10="#4",1,IF(C10="#3",1,IF(C10="#2",1,0))))))))</f>
        <v>0</v>
      </c>
      <c r="I10" s="2">
        <f>IF(C10="#1",1,IF(C10="#1/0",1,IF(C10="#2/0",1,IF(C10="#3/0",1,IF(C10="#4/0",1,IF(C10="250 MCM",1,IF(C10="300 MCM",1,IF(C10="350 MCM",1,0))))))))</f>
        <v>0</v>
      </c>
      <c r="J10" s="2">
        <f>IF(C10="400 MCM",1,IF(C10="500 MCM",1,IF(C10="600 MCM",1,IF(C10="750 MCM",1,IF(C10="1000 MCM",1,IF(C10="1000 MCM",1,IF(C10="1000 MCM",1,IF(C10="1000 MCM",1,0))))))))</f>
        <v>0</v>
      </c>
      <c r="K10" s="2">
        <f t="shared" si="0"/>
        <v>0</v>
      </c>
      <c r="L10" s="2">
        <f t="shared" si="2"/>
        <v>0</v>
      </c>
      <c r="M10" s="2">
        <f t="shared" si="3"/>
        <v>0</v>
      </c>
      <c r="Q10" s="10"/>
      <c r="R10" s="51"/>
      <c r="S10" s="10"/>
      <c r="T10" s="53"/>
      <c r="U10" s="10"/>
      <c r="V10" s="54"/>
      <c r="W10" s="10"/>
      <c r="X10" s="55"/>
      <c r="Y10" s="8"/>
      <c r="Z10" s="8"/>
    </row>
    <row r="11" spans="1:29">
      <c r="A11" s="1"/>
      <c r="B11" s="1" t="s">
        <v>4</v>
      </c>
      <c r="C11" s="67" t="s">
        <v>3</v>
      </c>
      <c r="D11" s="24"/>
      <c r="E11" s="1" t="str">
        <f t="shared" si="1"/>
        <v/>
      </c>
      <c r="F11" s="1"/>
      <c r="G11" s="2">
        <f>IF(C11="no",0,IF(ISTEXT(C11)=TRUE,5,"ERROR"))</f>
        <v>0</v>
      </c>
      <c r="I11" s="2">
        <f>IF(C11="2000 Amp",1,IF(C11="2500 Amp",1,IF(C11="3000 Amp",1,IF(C11="4000 Amp",1,IF(C11="4000 Amp",1,IF(C11="4000 Amp",1,IF(C11="4000 Amp",1,IF(C11="4000 Amp",1,0))))))))</f>
        <v>0</v>
      </c>
      <c r="J11" s="2">
        <f>IF(C11="225 Amp",1,IF(C11="400 Amp",1,IF(C11="600 Amp",1,IF(C11="800 Amp",1,IF(C11="1000 Amp",1,IF(C11="1200 Amp",1,IF(C11="1350 Amp",1,IF(C11="1600 Amp",1,0))))))))</f>
        <v>0</v>
      </c>
      <c r="K11" s="2">
        <f t="shared" si="0"/>
        <v>0</v>
      </c>
      <c r="L11" s="2">
        <f t="shared" si="2"/>
        <v>0</v>
      </c>
      <c r="M11" s="2">
        <f t="shared" si="3"/>
        <v>0</v>
      </c>
      <c r="Q11" s="56"/>
      <c r="R11" s="56"/>
      <c r="S11" s="53"/>
      <c r="T11" s="53"/>
      <c r="U11" s="54"/>
      <c r="V11" s="54"/>
      <c r="W11" s="55"/>
      <c r="X11" s="55"/>
      <c r="Y11" s="8"/>
      <c r="Z11" s="8"/>
    </row>
    <row r="12" spans="1:29">
      <c r="A12" s="1"/>
      <c r="B12" s="1" t="s">
        <v>5</v>
      </c>
      <c r="C12" s="67" t="s">
        <v>3</v>
      </c>
      <c r="D12" s="24"/>
      <c r="E12" s="1" t="str">
        <f t="shared" si="1"/>
        <v/>
      </c>
      <c r="F12" s="1"/>
      <c r="G12" s="2">
        <f>IF(C12="no",0,IF(ISTEXT(C12)=TRUE,6,"ERROR"))</f>
        <v>0</v>
      </c>
      <c r="I12" s="2">
        <f>IF(C12="2000 Amp",1,IF(C12="2500 Amp",1,IF(C12="3000 Amp",1,IF(C12="4000 Amp",1,IF(C12="3000 Amp",1,IF(C12="3000 Amp",1,IF(C12="3000 Amp",1,IF(C12="3000 Amp",1,0))))))))</f>
        <v>0</v>
      </c>
      <c r="J12" s="2">
        <f>IF(C12="225 Amp",1,IF(C12="400 Amp",1,IF(C12="600 Amp",1,IF(C12="800 Amp",1,IF(C12="1000 Amp",1,IF(C12="1200 Amp",1,IF(C12="1350 Amp",1,IF(C12="1600 Amp",1,0))))))))</f>
        <v>0</v>
      </c>
      <c r="K12" s="2">
        <f t="shared" si="0"/>
        <v>0</v>
      </c>
      <c r="L12" s="2">
        <f t="shared" si="2"/>
        <v>0</v>
      </c>
      <c r="M12" s="2">
        <f t="shared" si="3"/>
        <v>0</v>
      </c>
      <c r="P12" s="3"/>
      <c r="Y12" s="15"/>
      <c r="Z12" s="15"/>
    </row>
    <row r="13" spans="1:29">
      <c r="A13" s="1"/>
      <c r="B13" s="1" t="s">
        <v>11</v>
      </c>
      <c r="C13" s="67" t="s">
        <v>3</v>
      </c>
      <c r="D13" s="24"/>
      <c r="E13" s="1" t="str">
        <f t="shared" si="1"/>
        <v/>
      </c>
      <c r="F13" s="34"/>
      <c r="G13" s="2">
        <f>IF(C13="no",0,IF(ISTEXT(C13)=TRUE,7,"ERROR"))</f>
        <v>0</v>
      </c>
      <c r="H13" s="2">
        <f>IF(C13="#14",1,IF(C13="#12",1,IF(C13="#10",1,IF(C13="#8",1,IF(C13="#6",1,IF(C13="#4",1,IF(C13="#3",1,IF(C13="#2",1,0))))))))</f>
        <v>0</v>
      </c>
      <c r="I13" s="2">
        <f>IF(C13="#1",1,IF(C13="#1/0",1,IF(C13="#2/0",1,IF(C13="#3/0",1,IF(C13="#4/0",1,IF(C13="250 MCM",1,IF(C13="300 MCM",1,IF(C13="350 MCM",1,0))))))))</f>
        <v>0</v>
      </c>
      <c r="J13" s="2">
        <f>IF(C13="400 MCM",1,IF(C13="500 MCM",1,IF(C13="600 MCM",1,IF(C13="750 MCM",1,IF(C13="1000 MCM",1,IF(C13="1000 MCM",1,IF(C13="1000 MCM",1,IF(C13="1000 MCM",1,0))))))))</f>
        <v>0</v>
      </c>
      <c r="K13" s="2">
        <f t="shared" si="0"/>
        <v>0</v>
      </c>
      <c r="L13" s="2">
        <f t="shared" si="2"/>
        <v>0</v>
      </c>
      <c r="M13" s="2">
        <f t="shared" si="3"/>
        <v>0</v>
      </c>
      <c r="Q13" s="32"/>
      <c r="R13" s="57"/>
      <c r="S13" s="50"/>
      <c r="T13" s="58"/>
      <c r="U13" s="32"/>
      <c r="V13" s="59"/>
      <c r="W13" s="7"/>
      <c r="X13" s="7"/>
    </row>
    <row r="14" spans="1:29">
      <c r="A14" s="1"/>
      <c r="B14" s="1" t="s">
        <v>12</v>
      </c>
      <c r="C14" s="67" t="s">
        <v>3</v>
      </c>
      <c r="D14" s="24"/>
      <c r="E14" s="1" t="str">
        <f t="shared" si="1"/>
        <v/>
      </c>
      <c r="F14" s="1"/>
      <c r="G14" s="2">
        <f>IF(C14="no",0,IF(ISTEXT(C14)=TRUE,8,"ERROR"))</f>
        <v>0</v>
      </c>
      <c r="H14" s="2">
        <f>IF(C14="#14",1,IF(C14="#12",1,IF(C14="#10",1,IF(C14="#8",1,IF(C14="#6",1,IF(C14="#4",1,IF(C14="#3",1,IF(C14="#2",1,0))))))))</f>
        <v>0</v>
      </c>
      <c r="I14" s="2">
        <f>IF(C14="#1",1,IF(C14="#1/0",1,IF(C14="#2/0",1,IF(C14="#3/0",1,IF(C14="#4/0",1,IF(C14="250 MCM",1,IF(C14="300 MCM",1,IF(C14="350 MCM",1,0))))))))</f>
        <v>0</v>
      </c>
      <c r="J14" s="2">
        <f>IF(C14="400 MCM",1,IF(C14="500 MCM",1,IF(C14="600 MCM",1,IF(C14="750 MCM",1,IF(C14="1000 MCM",1,IF(C14="1000 MCM",1,IF(C14="1000 MCM",1,IF(C14="1000 MCM",1,0))))))))</f>
        <v>0</v>
      </c>
      <c r="K14" s="2">
        <f t="shared" si="0"/>
        <v>0</v>
      </c>
      <c r="L14" s="2">
        <f t="shared" si="2"/>
        <v>0</v>
      </c>
      <c r="M14" s="2">
        <f t="shared" si="3"/>
        <v>0</v>
      </c>
      <c r="Q14" s="10"/>
      <c r="R14" s="57"/>
      <c r="S14" s="10"/>
      <c r="T14" s="58"/>
      <c r="U14" s="10"/>
      <c r="V14" s="59"/>
      <c r="W14" s="7"/>
      <c r="X14" s="7"/>
    </row>
    <row r="15" spans="1:29">
      <c r="A15" s="1"/>
      <c r="B15" s="1" t="s">
        <v>13</v>
      </c>
      <c r="C15" s="67" t="s">
        <v>3</v>
      </c>
      <c r="D15" s="24"/>
      <c r="E15" s="1" t="str">
        <f t="shared" si="1"/>
        <v/>
      </c>
      <c r="F15" s="1"/>
      <c r="G15" s="2">
        <f>IF(C15="no",0,IF(ISTEXT(C15)=TRUE,9,"ERROR"))</f>
        <v>0</v>
      </c>
      <c r="H15" s="2">
        <f>IF(C15="#14",1,IF(C15="#12",1,IF(C15="#10",1,IF(C15="#8",1,IF(C15="#6",1,IF(C15="#4",1,IF(C15="#3",1,IF(C15="#2",1,0))))))))</f>
        <v>0</v>
      </c>
      <c r="I15" s="2">
        <f>IF(C15="#1",1,IF(C15="#1/0",1,IF(C15="#2/0",1,IF(C15="#3/0",1,IF(C15="#4/0",1,IF(C15="250 MCM",1,IF(C15="300 MCM",1,IF(C15="350 MCM",1,0))))))))</f>
        <v>0</v>
      </c>
      <c r="J15" s="2">
        <f>IF(C15="400 MCM",1,IF(C15="500 MCM",1,IF(C15="600 MCM",1,IF(C15="750 MCM",1,IF(C15="1000 MCM",1,IF(C15="1000 MCM",1,IF(C15="1000 MCM",1,IF(C15="1000 MCM",1,0))))))))</f>
        <v>0</v>
      </c>
      <c r="K15" s="2">
        <f>SUM(H15:J15)</f>
        <v>0</v>
      </c>
      <c r="L15" s="2">
        <f>IF(ISBLANK(C15)=TRUE,1,0)</f>
        <v>0</v>
      </c>
      <c r="M15" s="2">
        <f t="shared" si="3"/>
        <v>0</v>
      </c>
      <c r="P15" s="8"/>
      <c r="Q15" s="10"/>
      <c r="R15" s="8"/>
      <c r="S15" s="7"/>
      <c r="T15" s="7"/>
      <c r="U15" s="3"/>
      <c r="V15" s="8"/>
      <c r="W15" s="4"/>
      <c r="X15" s="4"/>
      <c r="Y15" s="8"/>
      <c r="Z15" s="8"/>
    </row>
    <row r="16" spans="1:29">
      <c r="A16" s="1"/>
      <c r="B16" s="1" t="s">
        <v>14</v>
      </c>
      <c r="C16" s="67" t="s">
        <v>3</v>
      </c>
      <c r="D16" s="24"/>
      <c r="E16" s="1" t="str">
        <f t="shared" si="1"/>
        <v/>
      </c>
      <c r="F16" s="1"/>
      <c r="G16" s="2">
        <f>IF(C16="no",0,IF(ISTEXT(C16)=TRUE,10,"ERROR"))</f>
        <v>0</v>
      </c>
      <c r="H16" s="2">
        <f>IF(C16="#14",1,IF(C16="#12",1,IF(C16="#10",1,IF(C16="#8",1,IF(C16="#6",1,IF(C16="#4",1,IF(C16="#3",1,IF(C16="#2",1,0))))))))</f>
        <v>0</v>
      </c>
      <c r="I16" s="2">
        <f>IF(C16="#1",1,IF(C16="#1/0",1,IF(C16="#2/0",1,IF(C16="#3/0",1,IF(C16="#4/0",1,IF(C16="250 MCM",1,IF(C16="300 MCM",1,IF(C16="350 MCM",1,0))))))))</f>
        <v>0</v>
      </c>
      <c r="J16" s="2">
        <f>IF(C16="400 MCM",1,IF(C16="500 MCM",1,IF(C16="600 MCM",1,IF(C16="750 MCM",1,IF(C16="1000 MCM",1,IF(C16="1000 MCM",1,IF(C16="1000 MCM",1,IF(C16="1000 MCM",1,0))))))))</f>
        <v>0</v>
      </c>
      <c r="K16" s="2">
        <f>SUM(H16:J16)</f>
        <v>0</v>
      </c>
      <c r="L16" s="2">
        <f>IF(ISBLANK(C16)=TRUE,1,0)</f>
        <v>0</v>
      </c>
      <c r="M16" s="2">
        <f t="shared" si="3"/>
        <v>0</v>
      </c>
      <c r="P16" s="8"/>
      <c r="Q16" s="15"/>
      <c r="R16" s="60"/>
      <c r="S16" s="18"/>
      <c r="T16" s="18"/>
      <c r="U16" s="20"/>
      <c r="V16" s="20"/>
      <c r="W16" s="4"/>
      <c r="X16" s="4"/>
      <c r="Y16" s="8"/>
      <c r="Z16" s="8"/>
    </row>
    <row r="17" spans="1:29">
      <c r="A17" s="1"/>
      <c r="B17" s="1" t="s">
        <v>6</v>
      </c>
      <c r="C17" s="67" t="s">
        <v>3</v>
      </c>
      <c r="D17" s="24"/>
      <c r="E17" s="1" t="str">
        <f t="shared" si="1"/>
        <v/>
      </c>
      <c r="F17" s="1"/>
      <c r="G17" s="2">
        <f>IF(C17="no",0,IF(ISTEXT(C17)=TRUE,11,"ERROR"))</f>
        <v>0</v>
      </c>
      <c r="I17" s="2">
        <f>IF(C17="2000 Amp",1,IF(C17="2500 Amp",1,IF(C17="3000 Amp",1,IF(C17="4000 Amp",1,IF(C17="3000 Amp",1,IF(C17="3000 Amp",1,IF(C17="3000 Amp",1,IF(C17="3000 Amp",1,0))))))))</f>
        <v>0</v>
      </c>
      <c r="J17" s="2">
        <f>IF(C17="225 Amp",1,IF(C17="400 Amp",1,IF(C17="600 Amp",1,IF(C17="800 Amp",1,IF(C17="1000 Amp",1,IF(C17="1200 Amp",1,IF(C17="1350 Amp",1,IF(C17="1600 Amp",1,0))))))))</f>
        <v>0</v>
      </c>
      <c r="K17" s="2">
        <f t="shared" si="0"/>
        <v>0</v>
      </c>
      <c r="L17" s="2">
        <f t="shared" si="2"/>
        <v>0</v>
      </c>
      <c r="M17" s="2">
        <f t="shared" si="3"/>
        <v>0</v>
      </c>
      <c r="N17" s="30"/>
      <c r="P17" s="8"/>
      <c r="Q17" s="15"/>
      <c r="R17" s="15"/>
      <c r="S17" s="18"/>
      <c r="T17" s="18"/>
      <c r="U17" s="42"/>
      <c r="V17" s="42"/>
      <c r="W17" s="4"/>
      <c r="X17" s="4"/>
      <c r="Y17" s="4"/>
      <c r="Z17" s="4"/>
    </row>
    <row r="18" spans="1:29">
      <c r="A18" s="1"/>
      <c r="B18" s="1"/>
      <c r="C18" s="24"/>
      <c r="D18" s="24"/>
      <c r="E18" s="1"/>
      <c r="F18" s="1"/>
      <c r="G18" s="2">
        <f>IF(K18&gt;1,0,SUM(G7:G17))</f>
        <v>1</v>
      </c>
      <c r="K18" s="2">
        <f>SUM(K7:K17)</f>
        <v>1</v>
      </c>
      <c r="L18" s="2">
        <f>IF(G18=0,1,0)</f>
        <v>0</v>
      </c>
      <c r="M18" s="2">
        <f>IF(L$25=0,0,IF(G18&gt;0,1,0))</f>
        <v>0</v>
      </c>
      <c r="P18" s="7"/>
      <c r="R18" s="5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"/>
      <c r="B19" s="1" t="s">
        <v>106</v>
      </c>
      <c r="C19" s="66">
        <v>2</v>
      </c>
      <c r="D19" s="24"/>
      <c r="E19" s="1" t="str">
        <f>IF(L19&gt;0,"&lt;&lt; ERROR"," ")</f>
        <v xml:space="preserve"> </v>
      </c>
      <c r="F19" s="1"/>
      <c r="G19" s="2">
        <f>COUNT(G7:G18)</f>
        <v>12</v>
      </c>
      <c r="L19" s="2">
        <f>IF(ISBLANK(C19)=TRUE,1,IF(ISTEXT(C19)=TRUE,1,IF(C19&lt;1,1,0)))</f>
        <v>0</v>
      </c>
      <c r="P19" s="5"/>
      <c r="Q19" s="5"/>
      <c r="R19" s="5"/>
      <c r="S19" s="5"/>
      <c r="T19" s="5"/>
      <c r="U19" s="5"/>
      <c r="V19" s="5"/>
      <c r="W19" s="7"/>
      <c r="X19" s="7"/>
      <c r="Y19" s="4"/>
      <c r="Z19" s="4"/>
      <c r="AA19" s="4"/>
      <c r="AB19" s="4"/>
      <c r="AC19" s="4"/>
    </row>
    <row r="20" spans="1:29">
      <c r="A20" s="1"/>
      <c r="B20" s="1"/>
      <c r="C20" s="24"/>
      <c r="D20" s="24"/>
      <c r="E20" s="1"/>
      <c r="F20" s="1"/>
      <c r="P20" s="5"/>
      <c r="Q20" s="5"/>
      <c r="R20" s="5"/>
      <c r="S20" s="5"/>
      <c r="T20" s="5"/>
      <c r="U20" s="5"/>
      <c r="V20" s="5"/>
      <c r="W20" s="4"/>
      <c r="X20" s="4"/>
      <c r="Y20" s="4"/>
      <c r="Z20" s="4"/>
      <c r="AA20" s="4"/>
      <c r="AB20" s="4"/>
      <c r="AC20" s="5"/>
    </row>
    <row r="21" spans="1:29">
      <c r="A21" s="1"/>
      <c r="B21" s="1"/>
      <c r="C21" s="34"/>
      <c r="D21" s="1"/>
      <c r="E21" s="1"/>
      <c r="F21" s="1"/>
      <c r="Q21" s="32"/>
      <c r="U21" s="4"/>
      <c r="V21" s="4"/>
      <c r="W21" s="33"/>
      <c r="X21" s="4"/>
      <c r="Y21" s="32"/>
      <c r="Z21" s="4"/>
      <c r="AA21" s="32"/>
      <c r="AB21" s="4"/>
      <c r="AC21" s="50"/>
    </row>
    <row r="22" spans="1:29">
      <c r="A22" s="1"/>
      <c r="B22" s="95"/>
      <c r="C22" s="1"/>
      <c r="D22" s="1"/>
      <c r="E22" s="1"/>
      <c r="F22" s="1"/>
      <c r="Q22" s="10"/>
      <c r="S22" s="10"/>
      <c r="U22" s="10"/>
      <c r="V22" s="4"/>
      <c r="W22" s="10"/>
      <c r="X22" s="4"/>
      <c r="Y22" s="10"/>
      <c r="Z22" s="4"/>
      <c r="AA22" s="10"/>
      <c r="AB22" s="4"/>
      <c r="AC22" s="10"/>
    </row>
    <row r="23" spans="1:29">
      <c r="A23" s="1"/>
      <c r="B23" s="96" t="s">
        <v>127</v>
      </c>
      <c r="C23" s="1"/>
      <c r="D23" s="1"/>
      <c r="E23" s="1"/>
      <c r="F23" s="1"/>
      <c r="P23" s="3"/>
      <c r="U23" s="4"/>
      <c r="V23" s="4"/>
      <c r="W23" s="4"/>
      <c r="X23" s="4"/>
      <c r="Y23" s="5"/>
      <c r="Z23" s="5"/>
    </row>
    <row r="24" spans="1:29">
      <c r="A24" s="1"/>
      <c r="B24" s="95"/>
      <c r="C24" s="1"/>
      <c r="D24" s="1"/>
      <c r="E24" s="1"/>
      <c r="F24" s="1"/>
      <c r="Q24" s="32"/>
      <c r="U24" s="50"/>
      <c r="V24" s="4"/>
      <c r="W24" s="61"/>
      <c r="X24" s="4"/>
      <c r="Y24" s="62"/>
      <c r="Z24" s="4"/>
      <c r="AA24" s="32"/>
      <c r="AB24" s="4"/>
      <c r="AC24" s="4"/>
    </row>
    <row r="25" spans="1:29">
      <c r="A25" s="1"/>
      <c r="B25" s="1"/>
      <c r="C25" s="1"/>
      <c r="D25" s="1"/>
      <c r="E25" s="35"/>
      <c r="F25" s="35"/>
      <c r="H25" s="63" t="s">
        <v>16</v>
      </c>
      <c r="I25" s="64"/>
      <c r="J25" s="64"/>
      <c r="K25" s="64"/>
      <c r="L25" s="65">
        <f>SUM(L7:L24)</f>
        <v>0</v>
      </c>
      <c r="Q25" s="10"/>
      <c r="S25" s="10"/>
      <c r="U25" s="10"/>
      <c r="V25" s="4"/>
      <c r="W25" s="10"/>
      <c r="X25" s="4"/>
      <c r="Y25" s="10"/>
      <c r="Z25" s="4"/>
      <c r="AA25" s="10"/>
      <c r="AB25" s="4"/>
      <c r="AC25" s="10"/>
    </row>
    <row r="26" spans="1:29">
      <c r="A26" s="1"/>
      <c r="B26" s="1"/>
      <c r="C26" s="1"/>
      <c r="D26" s="1"/>
      <c r="E26" s="35"/>
      <c r="F26" s="35"/>
      <c r="O26" s="4"/>
      <c r="P26" s="3"/>
      <c r="Q26" s="5"/>
      <c r="R26" s="5"/>
      <c r="S26" s="5"/>
      <c r="T26" s="5"/>
      <c r="U26" s="5"/>
      <c r="V26" s="5"/>
      <c r="W26" s="4"/>
      <c r="X26" s="4"/>
      <c r="Y26" s="5"/>
      <c r="Z26" s="5"/>
    </row>
    <row r="27" spans="1:29">
      <c r="A27" s="1"/>
      <c r="B27" s="1"/>
      <c r="C27" s="1"/>
      <c r="D27" s="1"/>
      <c r="E27" s="35"/>
      <c r="F27" s="35"/>
      <c r="N27" s="4"/>
      <c r="O27" s="4"/>
      <c r="Q27" s="32"/>
      <c r="U27" s="61"/>
      <c r="V27" s="4"/>
      <c r="W27" s="32"/>
      <c r="X27" s="4"/>
      <c r="Y27" s="33"/>
      <c r="Z27" s="4"/>
      <c r="AA27" s="32"/>
      <c r="AB27" s="32"/>
      <c r="AC27" s="32"/>
    </row>
    <row r="28" spans="1:29">
      <c r="A28" s="1"/>
      <c r="B28" s="1"/>
      <c r="C28" s="1"/>
      <c r="D28" s="1"/>
      <c r="E28" s="1"/>
      <c r="F28" s="1"/>
      <c r="N28" s="4"/>
      <c r="O28" s="4"/>
      <c r="Q28" s="10"/>
      <c r="S28" s="10"/>
      <c r="U28" s="10"/>
      <c r="V28" s="4"/>
      <c r="W28" s="10"/>
      <c r="X28" s="4"/>
      <c r="Y28" s="10"/>
      <c r="Z28" s="4"/>
      <c r="AA28" s="10"/>
      <c r="AB28" s="10"/>
      <c r="AC28" s="10"/>
    </row>
    <row r="29" spans="1:29">
      <c r="A29" s="1"/>
      <c r="B29" s="1"/>
      <c r="C29" s="1"/>
      <c r="D29" s="1"/>
      <c r="E29" s="1"/>
      <c r="F29" s="1"/>
      <c r="N29" s="4"/>
      <c r="W29" s="5"/>
      <c r="X29" s="5"/>
      <c r="Y29" s="10"/>
      <c r="Z29" s="4"/>
    </row>
    <row r="30" spans="1:29">
      <c r="A30" s="1"/>
      <c r="B30" s="1"/>
      <c r="C30" s="1"/>
      <c r="D30" s="1"/>
      <c r="E30" s="1"/>
      <c r="F30" s="1"/>
      <c r="Y30" s="5"/>
      <c r="Z30" s="5"/>
    </row>
    <row r="31" spans="1:29">
      <c r="A31" s="1"/>
      <c r="B31" s="1"/>
      <c r="C31" s="1"/>
      <c r="D31" s="1"/>
      <c r="E31" s="1"/>
      <c r="F31" s="1"/>
      <c r="L31" s="4"/>
      <c r="R31" s="8" t="s">
        <v>55</v>
      </c>
      <c r="Y31" s="5"/>
      <c r="Z31" s="5"/>
    </row>
    <row r="32" spans="1:29" hidden="1">
      <c r="G32" s="4"/>
      <c r="H32" s="4"/>
      <c r="I32" s="4"/>
      <c r="J32" s="4"/>
      <c r="K32" s="4"/>
      <c r="L32" s="4"/>
      <c r="P32" s="8"/>
      <c r="Q32" s="20"/>
      <c r="R32" s="21"/>
      <c r="S32" s="22"/>
      <c r="T32" s="8"/>
      <c r="U32" s="15"/>
      <c r="V32" s="8"/>
      <c r="W32" s="20"/>
      <c r="X32" s="23"/>
      <c r="Y32" s="8"/>
    </row>
    <row r="33" spans="7:28" hidden="1">
      <c r="G33" s="4"/>
      <c r="H33" s="4"/>
      <c r="I33" s="4"/>
      <c r="J33" s="4"/>
      <c r="K33" s="4"/>
      <c r="L33" s="4"/>
    </row>
    <row r="34" spans="7:28" hidden="1">
      <c r="G34" s="4"/>
      <c r="H34" s="4"/>
      <c r="I34" s="4"/>
      <c r="J34" s="4"/>
      <c r="K34" s="4"/>
      <c r="M34" s="4"/>
    </row>
    <row r="35" spans="7:28" hidden="1">
      <c r="M35" s="4"/>
      <c r="P35" s="4" t="s">
        <v>85</v>
      </c>
      <c r="Q35" s="4" t="s">
        <v>81</v>
      </c>
      <c r="R35" s="4" t="s">
        <v>80</v>
      </c>
      <c r="S35" s="4">
        <v>208</v>
      </c>
      <c r="T35" s="4" t="s">
        <v>79</v>
      </c>
      <c r="U35" s="2" t="s">
        <v>82</v>
      </c>
      <c r="V35" s="2" t="s">
        <v>60</v>
      </c>
      <c r="W35" s="2" t="s">
        <v>83</v>
      </c>
      <c r="X35" s="4" t="s">
        <v>88</v>
      </c>
      <c r="Y35" s="8" t="s">
        <v>84</v>
      </c>
      <c r="Z35" s="2" t="s">
        <v>56</v>
      </c>
      <c r="AA35" s="2" t="s">
        <v>86</v>
      </c>
      <c r="AB35" s="2" t="s">
        <v>87</v>
      </c>
    </row>
    <row r="36" spans="7:28" hidden="1">
      <c r="M36" s="4"/>
    </row>
  </sheetData>
  <sheetProtection password="DC0A" sheet="1" objects="1" scenarios="1"/>
  <phoneticPr fontId="0" type="noConversion"/>
  <conditionalFormatting sqref="E19">
    <cfRule type="expression" dxfId="8" priority="1" stopIfTrue="1">
      <formula>IF(L19&gt;0,TRUE,FALSE)</formula>
    </cfRule>
  </conditionalFormatting>
  <conditionalFormatting sqref="E7:E17">
    <cfRule type="expression" dxfId="7" priority="2" stopIfTrue="1">
      <formula>IF(L7&gt;0,TRUE,IF(M7=1,TRUE,IF(E7="&lt;&lt; SELECT ONE",TRUE,FALSE)))</formula>
    </cfRule>
  </conditionalFormatting>
  <dataValidations count="4">
    <dataValidation type="list" allowBlank="1" showInputMessage="1" showErrorMessage="1" sqref="C7:C10 C13:C16">
      <formula1>"No,#14,#12,#10,#8,#6,#4,#3,#2,#1,#1/0,#2/0,#3/0,#4/0,250 MCM,300 MCM,350 MCM,400 MCM,500 MCM,600 MCM,750 MCM,1000 MCM"</formula1>
    </dataValidation>
    <dataValidation type="list" allowBlank="1" showInputMessage="1" showErrorMessage="1" sqref="C11">
      <formula1>"No,225 Amp,400 Amp,600 Amp,800 Amp,1000 Amp,1200 Amp,1350 Amp,1600 Amp,2000 Amp,2500 Amp,3000 Amp,4000 Amp"</formula1>
    </dataValidation>
    <dataValidation type="list" allowBlank="1" showInputMessage="1" showErrorMessage="1" sqref="C12 C17">
      <formula1>"No,225 Amp,400 Amp,600 Amp,800 Amp,1000 Amp,1200 Amp,1350 Amp,1600 Amp,2000 Amp,2500 Amp,3000 Amp"</formula1>
    </dataValidation>
    <dataValidation type="whole" allowBlank="1" showInputMessage="1" showErrorMessage="1" errorTitle="Error" error="Enter number 1 or Larger" sqref="C19">
      <formula1>1</formula1>
      <formula2>99</formula2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M74"/>
  <sheetViews>
    <sheetView showGridLines="0" showRowColHeaders="0" workbookViewId="0"/>
  </sheetViews>
  <sheetFormatPr defaultColWidth="0" defaultRowHeight="11.25" zeroHeight="1"/>
  <cols>
    <col min="1" max="1" width="2" style="2" customWidth="1"/>
    <col min="2" max="2" width="12.5703125" style="2" customWidth="1"/>
    <col min="3" max="3" width="5" style="2" customWidth="1"/>
    <col min="4" max="4" width="11" style="2" customWidth="1"/>
    <col min="5" max="5" width="10.85546875" style="2" customWidth="1"/>
    <col min="6" max="6" width="14.140625" style="2" customWidth="1"/>
    <col min="7" max="7" width="8.5703125" style="2" customWidth="1"/>
    <col min="8" max="9" width="9.7109375" style="2" customWidth="1"/>
    <col min="10" max="10" width="4.5703125" style="2" customWidth="1"/>
    <col min="11" max="16384" width="0" style="2" hidden="1"/>
  </cols>
  <sheetData>
    <row r="1" spans="2:13">
      <c r="L1" s="69" t="s">
        <v>45</v>
      </c>
      <c r="M1" s="30">
        <v>0</v>
      </c>
    </row>
    <row r="2" spans="2:13">
      <c r="B2" s="70" t="s">
        <v>109</v>
      </c>
      <c r="C2" s="70"/>
      <c r="L2" s="69" t="s">
        <v>46</v>
      </c>
      <c r="M2" s="2">
        <v>0</v>
      </c>
    </row>
    <row r="3" spans="2:13">
      <c r="L3" s="2" t="s">
        <v>61</v>
      </c>
      <c r="M3" s="30">
        <v>0</v>
      </c>
    </row>
    <row r="4" spans="2:13">
      <c r="B4" s="71" t="s">
        <v>52</v>
      </c>
      <c r="E4" s="70" t="s">
        <v>52</v>
      </c>
      <c r="L4" s="2" t="s">
        <v>47</v>
      </c>
      <c r="M4" s="2">
        <v>3</v>
      </c>
    </row>
    <row r="5" spans="2:13">
      <c r="B5" s="2" t="s">
        <v>110</v>
      </c>
      <c r="E5" s="70"/>
    </row>
    <row r="6" spans="2:13">
      <c r="E6" s="70"/>
    </row>
    <row r="7" spans="2:13">
      <c r="B7" s="2" t="s">
        <v>111</v>
      </c>
      <c r="E7" s="70"/>
    </row>
    <row r="8" spans="2:13">
      <c r="E8" s="70"/>
    </row>
    <row r="9" spans="2:13">
      <c r="B9" s="2" t="s">
        <v>112</v>
      </c>
      <c r="E9" s="70"/>
    </row>
    <row r="10" spans="2:13">
      <c r="B10" s="70"/>
      <c r="E10" s="70"/>
    </row>
    <row r="11" spans="2:13">
      <c r="B11" s="2" t="s">
        <v>57</v>
      </c>
    </row>
    <row r="12" spans="2:13">
      <c r="B12" s="2" t="s">
        <v>113</v>
      </c>
    </row>
    <row r="13" spans="2:13">
      <c r="B13" s="2" t="s">
        <v>114</v>
      </c>
      <c r="C13" s="3"/>
      <c r="G13" s="30"/>
    </row>
    <row r="14" spans="2:13">
      <c r="B14" s="2" t="s">
        <v>115</v>
      </c>
      <c r="C14" s="72"/>
      <c r="D14" s="73"/>
      <c r="E14" s="74"/>
      <c r="F14" s="13"/>
      <c r="G14" s="75"/>
      <c r="H14" s="76"/>
      <c r="I14" s="76"/>
    </row>
    <row r="15" spans="2:13">
      <c r="B15" s="2" t="s">
        <v>116</v>
      </c>
      <c r="C15" s="72"/>
      <c r="D15" s="73"/>
      <c r="E15" s="74"/>
      <c r="F15" s="13"/>
      <c r="G15" s="75"/>
      <c r="H15" s="76"/>
      <c r="I15" s="76"/>
    </row>
    <row r="16" spans="2:13">
      <c r="B16" s="7"/>
      <c r="C16" s="7"/>
      <c r="J16" s="77"/>
    </row>
    <row r="17" spans="2:10">
      <c r="B17" s="7"/>
      <c r="C17" s="7"/>
      <c r="J17" s="77"/>
    </row>
    <row r="18" spans="2:10">
      <c r="B18" s="78" t="s">
        <v>58</v>
      </c>
      <c r="C18" s="79"/>
      <c r="D18" s="16"/>
      <c r="E18" s="17"/>
      <c r="F18" s="80"/>
      <c r="J18" s="68"/>
    </row>
    <row r="19" spans="2:10">
      <c r="B19" s="2" t="s">
        <v>117</v>
      </c>
      <c r="C19" s="79"/>
      <c r="D19" s="16"/>
      <c r="E19" s="17"/>
      <c r="F19" s="19"/>
      <c r="J19" s="68"/>
    </row>
    <row r="20" spans="2:10">
      <c r="B20" s="2" t="s">
        <v>118</v>
      </c>
      <c r="C20" s="7"/>
      <c r="J20" s="81"/>
    </row>
    <row r="21" spans="2:10">
      <c r="B21" s="2" t="s">
        <v>119</v>
      </c>
      <c r="C21" s="82"/>
      <c r="D21" s="83"/>
      <c r="E21" s="84"/>
      <c r="F21" s="85"/>
      <c r="G21" s="86"/>
    </row>
    <row r="22" spans="2:10">
      <c r="B22" s="87"/>
      <c r="C22" s="88"/>
      <c r="D22" s="89"/>
      <c r="E22" s="90"/>
      <c r="F22" s="7"/>
    </row>
    <row r="23" spans="2:10">
      <c r="B23" s="3"/>
      <c r="C23" s="3"/>
    </row>
    <row r="24" spans="2:10">
      <c r="B24" s="3"/>
      <c r="C24" s="3"/>
    </row>
    <row r="25" spans="2:10">
      <c r="B25" s="69" t="s">
        <v>50</v>
      </c>
      <c r="C25" s="91" t="s">
        <v>32</v>
      </c>
      <c r="D25" s="2" t="s">
        <v>120</v>
      </c>
    </row>
    <row r="26" spans="2:10">
      <c r="B26" s="3"/>
      <c r="C26" s="92"/>
      <c r="D26" s="3"/>
    </row>
    <row r="27" spans="2:10">
      <c r="C27" s="93"/>
      <c r="D27" s="3" t="s">
        <v>121</v>
      </c>
    </row>
    <row r="28" spans="2:10">
      <c r="C28" s="69" t="s">
        <v>122</v>
      </c>
      <c r="D28" s="2" t="s">
        <v>123</v>
      </c>
      <c r="E28" s="94"/>
    </row>
    <row r="29" spans="2:10">
      <c r="C29" s="69" t="s">
        <v>124</v>
      </c>
    </row>
    <row r="30" spans="2:10">
      <c r="C30" s="91" t="s">
        <v>32</v>
      </c>
      <c r="D30" s="2" t="s">
        <v>125</v>
      </c>
    </row>
    <row r="31" spans="2:10">
      <c r="C31" s="93"/>
    </row>
    <row r="32" spans="2:10">
      <c r="C32" s="93"/>
    </row>
    <row r="33" spans="2:4">
      <c r="C33" s="93"/>
    </row>
    <row r="34" spans="2:4">
      <c r="C34" s="91" t="s">
        <v>32</v>
      </c>
      <c r="D34" s="77">
        <v>20</v>
      </c>
    </row>
    <row r="35" spans="2:4">
      <c r="C35" s="93"/>
      <c r="D35" s="77" t="s">
        <v>17</v>
      </c>
    </row>
    <row r="36" spans="2:4">
      <c r="C36" s="93"/>
      <c r="D36" s="77" t="s">
        <v>54</v>
      </c>
    </row>
    <row r="37" spans="2:4">
      <c r="C37" s="93"/>
      <c r="D37" s="77" t="s">
        <v>18</v>
      </c>
    </row>
    <row r="38" spans="2:4">
      <c r="C38" s="93"/>
    </row>
    <row r="39" spans="2:4">
      <c r="C39" s="93"/>
    </row>
    <row r="40" spans="2:4">
      <c r="C40" s="93"/>
    </row>
    <row r="41" spans="2:4">
      <c r="C41" s="93"/>
    </row>
    <row r="42" spans="2:4">
      <c r="B42" s="69" t="s">
        <v>51</v>
      </c>
      <c r="C42" s="91" t="s">
        <v>32</v>
      </c>
      <c r="D42" s="77" t="s">
        <v>126</v>
      </c>
    </row>
    <row r="43" spans="2:4"/>
    <row r="44" spans="2:4"/>
    <row r="45" spans="2:4">
      <c r="C45" s="3" t="s">
        <v>53</v>
      </c>
    </row>
    <row r="46" spans="2:4">
      <c r="C46" s="3"/>
    </row>
    <row r="47" spans="2:4">
      <c r="C47" s="3" t="s">
        <v>23</v>
      </c>
      <c r="D47" s="3" t="s">
        <v>30</v>
      </c>
    </row>
    <row r="48" spans="2:4">
      <c r="C48" s="3" t="s">
        <v>48</v>
      </c>
      <c r="D48" s="3" t="s">
        <v>49</v>
      </c>
    </row>
    <row r="49" spans="3:4">
      <c r="C49" s="3" t="s">
        <v>26</v>
      </c>
      <c r="D49" s="3" t="s">
        <v>27</v>
      </c>
    </row>
    <row r="50" spans="3:4">
      <c r="C50" s="3" t="s">
        <v>67</v>
      </c>
      <c r="D50" s="3" t="s">
        <v>68</v>
      </c>
    </row>
    <row r="51" spans="3:4">
      <c r="C51" s="3" t="s">
        <v>71</v>
      </c>
      <c r="D51" s="3" t="s">
        <v>72</v>
      </c>
    </row>
    <row r="52" spans="3:4">
      <c r="C52" s="3" t="s">
        <v>69</v>
      </c>
      <c r="D52" s="3" t="s">
        <v>70</v>
      </c>
    </row>
    <row r="53" spans="3:4">
      <c r="C53" s="3" t="s">
        <v>21</v>
      </c>
      <c r="D53" s="3" t="s">
        <v>22</v>
      </c>
    </row>
    <row r="54" spans="3:4">
      <c r="C54" s="3" t="s">
        <v>24</v>
      </c>
      <c r="D54" s="3" t="s">
        <v>25</v>
      </c>
    </row>
    <row r="55" spans="3:4">
      <c r="C55" s="3" t="s">
        <v>43</v>
      </c>
      <c r="D55" s="3" t="s">
        <v>44</v>
      </c>
    </row>
    <row r="56" spans="3:4">
      <c r="C56" s="3" t="s">
        <v>28</v>
      </c>
      <c r="D56" s="3" t="s">
        <v>29</v>
      </c>
    </row>
    <row r="57" spans="3:4">
      <c r="C57" s="3" t="s">
        <v>77</v>
      </c>
      <c r="D57" s="3" t="s">
        <v>78</v>
      </c>
    </row>
    <row r="58" spans="3:4">
      <c r="C58" s="3" t="s">
        <v>74</v>
      </c>
      <c r="D58" s="3" t="s">
        <v>73</v>
      </c>
    </row>
    <row r="59" spans="3:4">
      <c r="C59" s="3" t="s">
        <v>75</v>
      </c>
      <c r="D59" s="3" t="s">
        <v>76</v>
      </c>
    </row>
    <row r="60" spans="3:4">
      <c r="C60" s="3" t="s">
        <v>20</v>
      </c>
      <c r="D60" s="3" t="s">
        <v>19</v>
      </c>
    </row>
    <row r="61" spans="3:4">
      <c r="C61" s="3" t="s">
        <v>33</v>
      </c>
      <c r="D61" s="3" t="s">
        <v>31</v>
      </c>
    </row>
    <row r="62" spans="3:4">
      <c r="C62" s="3" t="s">
        <v>41</v>
      </c>
      <c r="D62" s="3" t="s">
        <v>42</v>
      </c>
    </row>
    <row r="63" spans="3:4">
      <c r="C63" s="3"/>
      <c r="D63" s="3"/>
    </row>
    <row r="64" spans="3:4">
      <c r="C64" s="3"/>
      <c r="D64" s="3"/>
    </row>
    <row r="65" spans="2:4">
      <c r="B65" s="2" t="s">
        <v>128</v>
      </c>
      <c r="C65" s="3"/>
      <c r="D65" s="3"/>
    </row>
    <row r="66" spans="2:4" hidden="1">
      <c r="C66" s="3"/>
      <c r="D66" s="3"/>
    </row>
    <row r="67" spans="2:4" hidden="1">
      <c r="C67" s="3"/>
      <c r="D67" s="3"/>
    </row>
    <row r="68" spans="2:4" hidden="1">
      <c r="C68" s="3"/>
      <c r="D68" s="3"/>
    </row>
    <row r="69" spans="2:4" hidden="1">
      <c r="C69" s="3"/>
      <c r="D69" s="3"/>
    </row>
    <row r="70" spans="2:4" hidden="1">
      <c r="C70" s="3"/>
      <c r="D70" s="3"/>
    </row>
    <row r="71" spans="2:4" hidden="1">
      <c r="C71" s="3"/>
      <c r="D71" s="3"/>
    </row>
    <row r="72" spans="2:4" hidden="1">
      <c r="C72" s="3"/>
      <c r="D72" s="3"/>
    </row>
    <row r="73" spans="2:4" hidden="1">
      <c r="C73" s="3"/>
      <c r="D73" s="3"/>
    </row>
    <row r="74" spans="2:4" hidden="1">
      <c r="C74" s="3"/>
      <c r="D74" s="3"/>
    </row>
  </sheetData>
  <sheetProtection password="DC0A" sheet="1" objects="1" scenarios="1"/>
  <phoneticPr fontId="0" type="noConversion"/>
  <conditionalFormatting sqref="K1:K79 I67:J79">
    <cfRule type="expression" dxfId="6" priority="1" stopIfTrue="1">
      <formula>IF($M$1&gt;0,TRUE,IF($M$2&gt;0,TRUE,FALSE))</formula>
    </cfRule>
  </conditionalFormatting>
  <conditionalFormatting sqref="C66:D74">
    <cfRule type="expression" dxfId="5" priority="2" stopIfTrue="1">
      <formula>IF($M$3&gt;0,TRUE,FALSE)</formula>
    </cfRule>
  </conditionalFormatting>
  <conditionalFormatting sqref="E4">
    <cfRule type="expression" dxfId="4" priority="3" stopIfTrue="1">
      <formula>IF($M$2&gt;0,TRUE,FALSE)</formula>
    </cfRule>
  </conditionalFormatting>
  <conditionalFormatting sqref="B4">
    <cfRule type="expression" dxfId="3" priority="4" stopIfTrue="1">
      <formula>IF($M$1&gt;0,TRUE,FALSE)</formula>
    </cfRule>
  </conditionalFormatting>
  <conditionalFormatting sqref="C30:C65 D5:J65 C5:C27 A5:B65">
    <cfRule type="expression" dxfId="2" priority="5" stopIfTrue="1">
      <formula>IF($M$3&gt;0,TRUE,FALSE)</formula>
    </cfRule>
  </conditionalFormatting>
  <conditionalFormatting sqref="C28:C29">
    <cfRule type="expression" dxfId="1" priority="6" stopIfTrue="1">
      <formula>IF($M$3&gt;0,TRUE,FALSE)</formula>
    </cfRule>
    <cfRule type="expression" dxfId="0" priority="7" stopIfTrue="1">
      <formula>IF($M$4=2,TRUE,FALSE)</formula>
    </cfRule>
  </conditionalFormatting>
  <pageMargins left="0.5" right="0" top="0.25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Step 1</vt:lpstr>
      <vt:lpstr>Step 2</vt:lpstr>
      <vt:lpstr>Printout</vt:lpstr>
      <vt:lpstr>Printout!Print_Area</vt:lpstr>
    </vt:vector>
  </TitlesOfParts>
  <Company>Durand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Durand</dc:creator>
  <cp:lastModifiedBy>DURAND</cp:lastModifiedBy>
  <cp:lastPrinted>2004-02-04T20:19:46Z</cp:lastPrinted>
  <dcterms:created xsi:type="dcterms:W3CDTF">2004-01-21T21:53:16Z</dcterms:created>
  <dcterms:modified xsi:type="dcterms:W3CDTF">2025-11-05T19:47:06Z</dcterms:modified>
</cp:coreProperties>
</file>